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lanoclub-my.sharepoint.com/personal/director_gralanoclub_org/Documents/Desktop/Work Files/Financial Reports/FY24-25/"/>
    </mc:Choice>
  </mc:AlternateContent>
  <xr:revisionPtr revIDLastSave="9" documentId="8_{59CED549-C355-421C-BDA3-5DAC4526E1D9}" xr6:coauthVersionLast="47" xr6:coauthVersionMax="47" xr10:uidLastSave="{98A11522-55D3-4D2A-95EC-3EE2E639F232}"/>
  <bookViews>
    <workbookView xWindow="28680" yWindow="-90" windowWidth="29040" windowHeight="16440" xr2:uid="{00000000-000D-0000-FFFF-FFFF00000000}"/>
  </bookViews>
  <sheets>
    <sheet name="Profit and Loss" sheetId="1" r:id="rId1"/>
  </sheets>
  <externalReferences>
    <externalReference r:id="rId2"/>
  </externalReferences>
  <definedNames>
    <definedName name="_xlnm.Print_Area" localSheetId="0">'Profit and Loss'!$S$74:$Y$108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U43" i="1" l="1"/>
  <c r="V43" i="1" s="1"/>
  <c r="U44" i="1"/>
  <c r="V70" i="1"/>
  <c r="V69" i="1"/>
  <c r="W69" i="1" s="1"/>
  <c r="V68" i="1"/>
  <c r="V67" i="1"/>
  <c r="V66" i="1"/>
  <c r="V59" i="1"/>
  <c r="U65" i="1"/>
  <c r="U64" i="1"/>
  <c r="U63" i="1"/>
  <c r="U62" i="1"/>
  <c r="U61" i="1"/>
  <c r="U60" i="1"/>
  <c r="U71" i="1" s="1"/>
  <c r="U58" i="1"/>
  <c r="U57" i="1"/>
  <c r="U56" i="1"/>
  <c r="U55" i="1"/>
  <c r="U54" i="1"/>
  <c r="U52" i="1"/>
  <c r="U50" i="1"/>
  <c r="U48" i="1"/>
  <c r="U47" i="1"/>
  <c r="U46" i="1"/>
  <c r="U45" i="1"/>
  <c r="U42" i="1"/>
  <c r="U40" i="1"/>
  <c r="U39" i="1"/>
  <c r="U38" i="1"/>
  <c r="U37" i="1"/>
  <c r="V37" i="1" s="1"/>
  <c r="U35" i="1"/>
  <c r="V35" i="1" s="1"/>
  <c r="W35" i="1" s="1"/>
  <c r="X35" i="1" s="1"/>
  <c r="U34" i="1"/>
  <c r="V34" i="1" s="1"/>
  <c r="W34" i="1" s="1"/>
  <c r="X34" i="1" s="1"/>
  <c r="U31" i="1"/>
  <c r="U30" i="1"/>
  <c r="U29" i="1"/>
  <c r="U28" i="1"/>
  <c r="U27" i="1"/>
  <c r="U26" i="1"/>
  <c r="U25" i="1"/>
  <c r="U24" i="1"/>
  <c r="U21" i="1"/>
  <c r="V21" i="1" s="1"/>
  <c r="U22" i="1"/>
  <c r="U18" i="1"/>
  <c r="U17" i="1"/>
  <c r="U16" i="1"/>
  <c r="U15" i="1"/>
  <c r="U13" i="1"/>
  <c r="U12" i="1"/>
  <c r="U10" i="1"/>
  <c r="U9" i="1"/>
  <c r="U8" i="1"/>
  <c r="T65" i="1"/>
  <c r="T64" i="1"/>
  <c r="T63" i="1"/>
  <c r="T62" i="1"/>
  <c r="T61" i="1"/>
  <c r="T60" i="1"/>
  <c r="T57" i="1"/>
  <c r="T55" i="1"/>
  <c r="T54" i="1"/>
  <c r="T56" i="1"/>
  <c r="T52" i="1"/>
  <c r="T51" i="1"/>
  <c r="V51" i="1" s="1"/>
  <c r="T50" i="1"/>
  <c r="T48" i="1"/>
  <c r="T47" i="1"/>
  <c r="T46" i="1"/>
  <c r="T45" i="1"/>
  <c r="T44" i="1"/>
  <c r="V44" i="1" s="1"/>
  <c r="W44" i="1" s="1"/>
  <c r="T42" i="1"/>
  <c r="T40" i="1"/>
  <c r="T39" i="1"/>
  <c r="T38" i="1"/>
  <c r="T37" i="1"/>
  <c r="T35" i="1"/>
  <c r="T34" i="1"/>
  <c r="T31" i="1"/>
  <c r="T30" i="1"/>
  <c r="T29" i="1"/>
  <c r="T28" i="1"/>
  <c r="T27" i="1"/>
  <c r="T26" i="1"/>
  <c r="T25" i="1"/>
  <c r="T24" i="1"/>
  <c r="T22" i="1"/>
  <c r="T18" i="1"/>
  <c r="T17" i="1"/>
  <c r="T16" i="1"/>
  <c r="T15" i="1"/>
  <c r="T13" i="1"/>
  <c r="T12" i="1"/>
  <c r="T10" i="1"/>
  <c r="T9" i="1"/>
  <c r="T8" i="1"/>
  <c r="S67" i="1"/>
  <c r="S62" i="1"/>
  <c r="S65" i="1" s="1"/>
  <c r="S55" i="1"/>
  <c r="S54" i="1"/>
  <c r="S56" i="1"/>
  <c r="S53" i="1"/>
  <c r="W53" i="1" s="1"/>
  <c r="S51" i="1"/>
  <c r="S52" i="1" s="1"/>
  <c r="S48" i="1"/>
  <c r="S46" i="1"/>
  <c r="S43" i="1"/>
  <c r="S42" i="1"/>
  <c r="S38" i="1"/>
  <c r="S37" i="1"/>
  <c r="S28" i="1"/>
  <c r="S27" i="1"/>
  <c r="S26" i="1"/>
  <c r="S25" i="1"/>
  <c r="S24" i="1"/>
  <c r="S20" i="1"/>
  <c r="S19" i="1"/>
  <c r="S16" i="1"/>
  <c r="S13" i="1"/>
  <c r="S12" i="1"/>
  <c r="S10" i="1"/>
  <c r="S9" i="1"/>
  <c r="S8" i="1"/>
  <c r="F65" i="1"/>
  <c r="F66" i="1" s="1"/>
  <c r="K68" i="1"/>
  <c r="K62" i="1"/>
  <c r="N66" i="1"/>
  <c r="P65" i="1"/>
  <c r="O65" i="1" s="1"/>
  <c r="O66" i="1" s="1"/>
  <c r="O69" i="1"/>
  <c r="N69" i="1"/>
  <c r="N40" i="1"/>
  <c r="AE68" i="1"/>
  <c r="AG68" i="1" s="1"/>
  <c r="AG67" i="1"/>
  <c r="AD67" i="1"/>
  <c r="AD68" i="1" s="1"/>
  <c r="AE62" i="1"/>
  <c r="AE65" i="1" s="1"/>
  <c r="AE66" i="1" s="1"/>
  <c r="AD62" i="1"/>
  <c r="AE55" i="1"/>
  <c r="AD55" i="1"/>
  <c r="AE54" i="1"/>
  <c r="AD54" i="1"/>
  <c r="AE56" i="1"/>
  <c r="AD56" i="1"/>
  <c r="AG53" i="1"/>
  <c r="AD53" i="1"/>
  <c r="AG43" i="1"/>
  <c r="AD43" i="1"/>
  <c r="AF43" i="1" s="1"/>
  <c r="AE42" i="1"/>
  <c r="AD42" i="1"/>
  <c r="AE46" i="1"/>
  <c r="AD46" i="1"/>
  <c r="AG41" i="1"/>
  <c r="AF41" i="1"/>
  <c r="AE38" i="1"/>
  <c r="AD38" i="1"/>
  <c r="AE37" i="1"/>
  <c r="AD37" i="1"/>
  <c r="AG36" i="1"/>
  <c r="AF36" i="1"/>
  <c r="AE51" i="1"/>
  <c r="AD51" i="1"/>
  <c r="AE50" i="1"/>
  <c r="AG50" i="1" s="1"/>
  <c r="AG49" i="1"/>
  <c r="AF49" i="1"/>
  <c r="AE48" i="1"/>
  <c r="AD48" i="1"/>
  <c r="AE28" i="1"/>
  <c r="AD28" i="1"/>
  <c r="AE25" i="1"/>
  <c r="AD25" i="1"/>
  <c r="AE27" i="1"/>
  <c r="AD27" i="1"/>
  <c r="AE24" i="1"/>
  <c r="AD24" i="1"/>
  <c r="AE26" i="1"/>
  <c r="AD26" i="1"/>
  <c r="AE16" i="1"/>
  <c r="AD16" i="1"/>
  <c r="AE20" i="1"/>
  <c r="AE21" i="1" s="1"/>
  <c r="AD20" i="1"/>
  <c r="AG19" i="1"/>
  <c r="AD19" i="1"/>
  <c r="AG9" i="1"/>
  <c r="AD9" i="1"/>
  <c r="AF9" i="1" s="1"/>
  <c r="AE8" i="1"/>
  <c r="AD8" i="1"/>
  <c r="AE10" i="1"/>
  <c r="AD10" i="1"/>
  <c r="AE13" i="1"/>
  <c r="AD13" i="1"/>
  <c r="AE12" i="1"/>
  <c r="AD12" i="1"/>
  <c r="AE11" i="1"/>
  <c r="AG11" i="1" s="1"/>
  <c r="V63" i="1" l="1"/>
  <c r="W63" i="1" s="1"/>
  <c r="V31" i="1"/>
  <c r="V64" i="1"/>
  <c r="W64" i="1" s="1"/>
  <c r="V30" i="1"/>
  <c r="V65" i="1"/>
  <c r="W65" i="1" s="1"/>
  <c r="W51" i="1"/>
  <c r="V54" i="1"/>
  <c r="W54" i="1" s="1"/>
  <c r="X54" i="1" s="1"/>
  <c r="W67" i="1"/>
  <c r="V56" i="1"/>
  <c r="W56" i="1" s="1"/>
  <c r="X56" i="1" s="1"/>
  <c r="V39" i="1"/>
  <c r="W39" i="1" s="1"/>
  <c r="X39" i="1" s="1"/>
  <c r="V55" i="1"/>
  <c r="W55" i="1" s="1"/>
  <c r="X55" i="1" s="1"/>
  <c r="V8" i="1"/>
  <c r="W8" i="1" s="1"/>
  <c r="X8" i="1" s="1"/>
  <c r="V57" i="1"/>
  <c r="V9" i="1"/>
  <c r="W9" i="1" s="1"/>
  <c r="X9" i="1" s="1"/>
  <c r="V60" i="1"/>
  <c r="V16" i="1"/>
  <c r="W16" i="1" s="1"/>
  <c r="X16" i="1" s="1"/>
  <c r="V50" i="1"/>
  <c r="W50" i="1" s="1"/>
  <c r="X50" i="1" s="1"/>
  <c r="V38" i="1"/>
  <c r="W38" i="1" s="1"/>
  <c r="X38" i="1" s="1"/>
  <c r="W37" i="1"/>
  <c r="X37" i="1" s="1"/>
  <c r="V40" i="1"/>
  <c r="V26" i="1"/>
  <c r="W26" i="1" s="1"/>
  <c r="X26" i="1" s="1"/>
  <c r="V15" i="1"/>
  <c r="V48" i="1"/>
  <c r="W48" i="1" s="1"/>
  <c r="X48" i="1" s="1"/>
  <c r="W43" i="1"/>
  <c r="V17" i="1"/>
  <c r="W17" i="1" s="1"/>
  <c r="X17" i="1" s="1"/>
  <c r="V52" i="1"/>
  <c r="W52" i="1" s="1"/>
  <c r="X52" i="1" s="1"/>
  <c r="V22" i="1"/>
  <c r="V24" i="1"/>
  <c r="W24" i="1" s="1"/>
  <c r="X24" i="1" s="1"/>
  <c r="V25" i="1"/>
  <c r="W25" i="1" s="1"/>
  <c r="X25" i="1" s="1"/>
  <c r="V42" i="1"/>
  <c r="V62" i="1"/>
  <c r="V18" i="1"/>
  <c r="W18" i="1" s="1"/>
  <c r="X18" i="1" s="1"/>
  <c r="V27" i="1"/>
  <c r="W27" i="1" s="1"/>
  <c r="X27" i="1" s="1"/>
  <c r="V10" i="1"/>
  <c r="W10" i="1" s="1"/>
  <c r="X10" i="1" s="1"/>
  <c r="V45" i="1"/>
  <c r="W45" i="1" s="1"/>
  <c r="X45" i="1" s="1"/>
  <c r="W46" i="1"/>
  <c r="X46" i="1" s="1"/>
  <c r="V29" i="1"/>
  <c r="W29" i="1" s="1"/>
  <c r="X29" i="1" s="1"/>
  <c r="V28" i="1"/>
  <c r="W28" i="1" s="1"/>
  <c r="X28" i="1" s="1"/>
  <c r="V61" i="1"/>
  <c r="W61" i="1" s="1"/>
  <c r="V12" i="1"/>
  <c r="W12" i="1" s="1"/>
  <c r="X12" i="1" s="1"/>
  <c r="V46" i="1"/>
  <c r="V13" i="1"/>
  <c r="W13" i="1" s="1"/>
  <c r="X13" i="1" s="1"/>
  <c r="V47" i="1"/>
  <c r="W42" i="1"/>
  <c r="X42" i="1" s="1"/>
  <c r="W62" i="1"/>
  <c r="T71" i="1"/>
  <c r="V71" i="1" s="1"/>
  <c r="AF51" i="1"/>
  <c r="T58" i="1"/>
  <c r="V58" i="1" s="1"/>
  <c r="S30" i="1"/>
  <c r="AF25" i="1"/>
  <c r="P66" i="1"/>
  <c r="S15" i="1"/>
  <c r="S57" i="1"/>
  <c r="AD65" i="1"/>
  <c r="AD66" i="1" s="1"/>
  <c r="S21" i="1"/>
  <c r="W21" i="1" s="1"/>
  <c r="S47" i="1"/>
  <c r="W47" i="1" s="1"/>
  <c r="X47" i="1" s="1"/>
  <c r="S68" i="1"/>
  <c r="W68" i="1" s="1"/>
  <c r="AF46" i="1"/>
  <c r="AF55" i="1"/>
  <c r="S40" i="1"/>
  <c r="S66" i="1"/>
  <c r="W66" i="1" s="1"/>
  <c r="AF13" i="1"/>
  <c r="AF48" i="1"/>
  <c r="P69" i="1"/>
  <c r="K69" i="1" s="1"/>
  <c r="AE30" i="1"/>
  <c r="AF20" i="1"/>
  <c r="AF28" i="1"/>
  <c r="AD30" i="1"/>
  <c r="AF68" i="1"/>
  <c r="AD21" i="1"/>
  <c r="AF21" i="1" s="1"/>
  <c r="AF37" i="1"/>
  <c r="AF27" i="1"/>
  <c r="AG51" i="1"/>
  <c r="AG8" i="1"/>
  <c r="AG54" i="1"/>
  <c r="AG46" i="1"/>
  <c r="AG55" i="1"/>
  <c r="AF11" i="1"/>
  <c r="AD52" i="1"/>
  <c r="AE52" i="1"/>
  <c r="AF10" i="1"/>
  <c r="AF26" i="1"/>
  <c r="AF56" i="1"/>
  <c r="AG25" i="1"/>
  <c r="AG13" i="1"/>
  <c r="AG37" i="1"/>
  <c r="AG26" i="1"/>
  <c r="AD57" i="1"/>
  <c r="AF8" i="1"/>
  <c r="AE40" i="1"/>
  <c r="AF67" i="1"/>
  <c r="AD40" i="1"/>
  <c r="AG56" i="1"/>
  <c r="AE15" i="1"/>
  <c r="AE22" i="1" s="1"/>
  <c r="AG27" i="1"/>
  <c r="AF54" i="1"/>
  <c r="AE47" i="1"/>
  <c r="AG42" i="1"/>
  <c r="AG24" i="1"/>
  <c r="AD15" i="1"/>
  <c r="AF12" i="1"/>
  <c r="AF24" i="1"/>
  <c r="AG12" i="1"/>
  <c r="AF19" i="1"/>
  <c r="AF38" i="1"/>
  <c r="AG38" i="1"/>
  <c r="AF53" i="1"/>
  <c r="AE70" i="1"/>
  <c r="AG16" i="1"/>
  <c r="AG28" i="1"/>
  <c r="AG10" i="1"/>
  <c r="AF16" i="1"/>
  <c r="AG48" i="1"/>
  <c r="AD47" i="1"/>
  <c r="AF42" i="1"/>
  <c r="AE57" i="1"/>
  <c r="AF62" i="1"/>
  <c r="AG62" i="1"/>
  <c r="AG20" i="1"/>
  <c r="AF50" i="1"/>
  <c r="W30" i="1" l="1"/>
  <c r="X30" i="1" s="1"/>
  <c r="W15" i="1"/>
  <c r="X15" i="1" s="1"/>
  <c r="W57" i="1"/>
  <c r="X57" i="1" s="1"/>
  <c r="W40" i="1"/>
  <c r="X40" i="1" s="1"/>
  <c r="AD70" i="1"/>
  <c r="AF70" i="1" s="1"/>
  <c r="AG65" i="1"/>
  <c r="S22" i="1"/>
  <c r="W22" i="1" s="1"/>
  <c r="X22" i="1" s="1"/>
  <c r="AF65" i="1"/>
  <c r="AF66" i="1" s="1"/>
  <c r="S70" i="1"/>
  <c r="W70" i="1" s="1"/>
  <c r="S58" i="1"/>
  <c r="W58" i="1" s="1"/>
  <c r="X58" i="1" s="1"/>
  <c r="AG21" i="1"/>
  <c r="AF30" i="1"/>
  <c r="AD22" i="1"/>
  <c r="AG22" i="1" s="1"/>
  <c r="AG52" i="1"/>
  <c r="AF40" i="1"/>
  <c r="AD58" i="1"/>
  <c r="AF52" i="1"/>
  <c r="AG40" i="1"/>
  <c r="AF47" i="1"/>
  <c r="AE58" i="1"/>
  <c r="AG57" i="1"/>
  <c r="AG15" i="1"/>
  <c r="AF15" i="1"/>
  <c r="AG47" i="1"/>
  <c r="AF57" i="1"/>
  <c r="AG70" i="1" l="1"/>
  <c r="S31" i="1"/>
  <c r="AF22" i="1"/>
  <c r="AG58" i="1"/>
  <c r="AF58" i="1"/>
  <c r="S60" i="1" l="1"/>
  <c r="W60" i="1" s="1"/>
  <c r="X60" i="1" s="1"/>
  <c r="W31" i="1"/>
  <c r="X31" i="1" s="1"/>
  <c r="S71" i="1" l="1"/>
  <c r="W71" i="1" s="1"/>
  <c r="X71" i="1" s="1"/>
  <c r="O49" i="1" l="1"/>
  <c r="N57" i="1"/>
  <c r="N52" i="1"/>
  <c r="N47" i="1"/>
  <c r="O45" i="1"/>
  <c r="O43" i="1"/>
  <c r="O39" i="1"/>
  <c r="O36" i="1"/>
  <c r="O35" i="1"/>
  <c r="O34" i="1"/>
  <c r="N30" i="1"/>
  <c r="O29" i="1"/>
  <c r="N21" i="1"/>
  <c r="O19" i="1"/>
  <c r="O18" i="1"/>
  <c r="O17" i="1"/>
  <c r="N15" i="1"/>
  <c r="O62" i="1"/>
  <c r="O63" i="1"/>
  <c r="O61" i="1"/>
  <c r="G64" i="1"/>
  <c r="G63" i="1"/>
  <c r="G61" i="1"/>
  <c r="G45" i="1"/>
  <c r="G41" i="1"/>
  <c r="G35" i="1"/>
  <c r="G34" i="1"/>
  <c r="G39" i="1"/>
  <c r="G36" i="1"/>
  <c r="G50" i="1"/>
  <c r="G49" i="1"/>
  <c r="G29" i="1"/>
  <c r="G17" i="1"/>
  <c r="G11" i="1"/>
  <c r="G18" i="1"/>
  <c r="H10" i="1"/>
  <c r="G10" i="1" s="1"/>
  <c r="H9" i="1"/>
  <c r="G9" i="1" s="1"/>
  <c r="N58" i="1" l="1"/>
  <c r="N22" i="1"/>
  <c r="N31" i="1" s="1"/>
  <c r="H68" i="1"/>
  <c r="H62" i="1"/>
  <c r="H65" i="1" s="1"/>
  <c r="P55" i="1"/>
  <c r="H55" i="1"/>
  <c r="P54" i="1"/>
  <c r="O54" i="1" s="1"/>
  <c r="H54" i="1"/>
  <c r="G54" i="1" s="1"/>
  <c r="P56" i="1"/>
  <c r="H56" i="1"/>
  <c r="G56" i="1" s="1"/>
  <c r="K53" i="1"/>
  <c r="H53" i="1"/>
  <c r="K43" i="1"/>
  <c r="H43" i="1"/>
  <c r="P42" i="1"/>
  <c r="H42" i="1"/>
  <c r="G42" i="1" s="1"/>
  <c r="P46" i="1"/>
  <c r="O46" i="1" s="1"/>
  <c r="H46" i="1"/>
  <c r="G46" i="1" s="1"/>
  <c r="K41" i="1"/>
  <c r="J41" i="1"/>
  <c r="P38" i="1"/>
  <c r="O38" i="1" s="1"/>
  <c r="H38" i="1"/>
  <c r="G38" i="1" s="1"/>
  <c r="P37" i="1"/>
  <c r="H37" i="1"/>
  <c r="G37" i="1" s="1"/>
  <c r="K36" i="1"/>
  <c r="J36" i="1"/>
  <c r="P51" i="1"/>
  <c r="O51" i="1" s="1"/>
  <c r="H51" i="1"/>
  <c r="P50" i="1"/>
  <c r="K49" i="1"/>
  <c r="J49" i="1"/>
  <c r="P48" i="1"/>
  <c r="O48" i="1" s="1"/>
  <c r="H48" i="1"/>
  <c r="G48" i="1" s="1"/>
  <c r="P28" i="1"/>
  <c r="O28" i="1" s="1"/>
  <c r="H28" i="1"/>
  <c r="G28" i="1" s="1"/>
  <c r="P25" i="1"/>
  <c r="O25" i="1" s="1"/>
  <c r="H25" i="1"/>
  <c r="G25" i="1" s="1"/>
  <c r="P27" i="1"/>
  <c r="O27" i="1" s="1"/>
  <c r="H27" i="1"/>
  <c r="G27" i="1" s="1"/>
  <c r="P24" i="1"/>
  <c r="H24" i="1"/>
  <c r="P26" i="1"/>
  <c r="O26" i="1" s="1"/>
  <c r="H26" i="1"/>
  <c r="G26" i="1" s="1"/>
  <c r="P16" i="1"/>
  <c r="O16" i="1" s="1"/>
  <c r="H16" i="1"/>
  <c r="G16" i="1" s="1"/>
  <c r="P20" i="1"/>
  <c r="O20" i="1" s="1"/>
  <c r="O21" i="1" s="1"/>
  <c r="H20" i="1"/>
  <c r="G20" i="1" s="1"/>
  <c r="K19" i="1"/>
  <c r="H19" i="1"/>
  <c r="K9" i="1"/>
  <c r="J9" i="1"/>
  <c r="P8" i="1"/>
  <c r="O8" i="1" s="1"/>
  <c r="H8" i="1"/>
  <c r="G8" i="1" s="1"/>
  <c r="P10" i="1"/>
  <c r="O10" i="1" s="1"/>
  <c r="P13" i="1"/>
  <c r="O13" i="1" s="1"/>
  <c r="H13" i="1"/>
  <c r="G13" i="1" s="1"/>
  <c r="P12" i="1"/>
  <c r="O12" i="1" s="1"/>
  <c r="H12" i="1"/>
  <c r="G12" i="1" s="1"/>
  <c r="P11" i="1"/>
  <c r="O11" i="1" s="1"/>
  <c r="J68" i="1" l="1"/>
  <c r="G68" i="1"/>
  <c r="G55" i="1"/>
  <c r="J55" i="1"/>
  <c r="O55" i="1"/>
  <c r="K55" i="1"/>
  <c r="G62" i="1"/>
  <c r="G65" i="1" s="1"/>
  <c r="J62" i="1"/>
  <c r="G24" i="1"/>
  <c r="H30" i="1"/>
  <c r="P40" i="1"/>
  <c r="O15" i="1"/>
  <c r="O22" i="1" s="1"/>
  <c r="N60" i="1"/>
  <c r="O37" i="1"/>
  <c r="O40" i="1" s="1"/>
  <c r="O56" i="1"/>
  <c r="P57" i="1"/>
  <c r="O50" i="1"/>
  <c r="O52" i="1" s="1"/>
  <c r="P52" i="1"/>
  <c r="O42" i="1"/>
  <c r="O47" i="1" s="1"/>
  <c r="P47" i="1"/>
  <c r="P30" i="1"/>
  <c r="O24" i="1"/>
  <c r="O30" i="1" s="1"/>
  <c r="K50" i="1"/>
  <c r="H52" i="1"/>
  <c r="G52" i="1" s="1"/>
  <c r="G51" i="1"/>
  <c r="J43" i="1"/>
  <c r="G43" i="1"/>
  <c r="J19" i="1"/>
  <c r="G19" i="1"/>
  <c r="J53" i="1"/>
  <c r="G53" i="1"/>
  <c r="H47" i="1"/>
  <c r="G47" i="1" s="1"/>
  <c r="K38" i="1"/>
  <c r="H40" i="1"/>
  <c r="G40" i="1" s="1"/>
  <c r="G30" i="1"/>
  <c r="J54" i="1"/>
  <c r="K37" i="1"/>
  <c r="K42" i="1"/>
  <c r="J56" i="1"/>
  <c r="J38" i="1"/>
  <c r="K54" i="1"/>
  <c r="J26" i="1"/>
  <c r="J37" i="1"/>
  <c r="K56" i="1"/>
  <c r="H69" i="1"/>
  <c r="J28" i="1"/>
  <c r="J13" i="1"/>
  <c r="J8" i="1"/>
  <c r="K12" i="1"/>
  <c r="K24" i="1"/>
  <c r="K10" i="1"/>
  <c r="K26" i="1"/>
  <c r="J25" i="1"/>
  <c r="P15" i="1"/>
  <c r="K13" i="1"/>
  <c r="K8" i="1"/>
  <c r="K16" i="1"/>
  <c r="H15" i="1"/>
  <c r="G15" i="1" s="1"/>
  <c r="J10" i="1"/>
  <c r="J20" i="1"/>
  <c r="J24" i="1"/>
  <c r="J11" i="1"/>
  <c r="J12" i="1"/>
  <c r="K20" i="1"/>
  <c r="K27" i="1"/>
  <c r="J42" i="1"/>
  <c r="H57" i="1"/>
  <c r="K28" i="1"/>
  <c r="K46" i="1"/>
  <c r="K11" i="1"/>
  <c r="J16" i="1"/>
  <c r="K51" i="1"/>
  <c r="H21" i="1"/>
  <c r="G21" i="1" s="1"/>
  <c r="P21" i="1"/>
  <c r="J27" i="1"/>
  <c r="K25" i="1"/>
  <c r="J48" i="1"/>
  <c r="J50" i="1"/>
  <c r="J51" i="1"/>
  <c r="K48" i="1"/>
  <c r="J46" i="1"/>
  <c r="K57" i="1" l="1"/>
  <c r="O57" i="1"/>
  <c r="O58" i="1" s="1"/>
  <c r="G69" i="1"/>
  <c r="J69" i="1"/>
  <c r="G57" i="1"/>
  <c r="J57" i="1"/>
  <c r="N70" i="1"/>
  <c r="N71" i="1"/>
  <c r="P58" i="1"/>
  <c r="O31" i="1"/>
  <c r="K52" i="1"/>
  <c r="H58" i="1"/>
  <c r="J15" i="1"/>
  <c r="K47" i="1"/>
  <c r="H22" i="1"/>
  <c r="G22" i="1" s="1"/>
  <c r="J52" i="1"/>
  <c r="P22" i="1"/>
  <c r="P31" i="1" s="1"/>
  <c r="J21" i="1"/>
  <c r="J47" i="1"/>
  <c r="K15" i="1"/>
  <c r="K21" i="1"/>
  <c r="O60" i="1" l="1"/>
  <c r="O70" i="1" s="1"/>
  <c r="O71" i="1" s="1"/>
  <c r="P71" i="1" s="1"/>
  <c r="G58" i="1"/>
  <c r="J58" i="1"/>
  <c r="K58" i="1"/>
  <c r="P60" i="1"/>
  <c r="K22" i="1"/>
  <c r="H31" i="1"/>
  <c r="G31" i="1" s="1"/>
  <c r="J22" i="1"/>
  <c r="K40" i="1"/>
  <c r="J40" i="1"/>
  <c r="K30" i="1"/>
  <c r="P70" i="1" l="1"/>
  <c r="J30" i="1"/>
  <c r="H60" i="1"/>
  <c r="K60" i="1" s="1"/>
  <c r="G60" i="1" l="1"/>
  <c r="J60" i="1"/>
  <c r="J31" i="1"/>
  <c r="K31" i="1"/>
  <c r="K65" i="1" l="1"/>
  <c r="J65" i="1"/>
  <c r="H66" i="1"/>
  <c r="G66" i="1"/>
  <c r="H70" i="1"/>
  <c r="G70" i="1" l="1"/>
  <c r="J70" i="1"/>
  <c r="K70" i="1"/>
  <c r="J66" i="1"/>
  <c r="K66" i="1"/>
  <c r="H71" i="1"/>
  <c r="G71" i="1" l="1"/>
  <c r="J71" i="1"/>
  <c r="K71" i="1"/>
  <c r="AD31" i="1"/>
  <c r="AD60" i="1" s="1"/>
  <c r="AD71" i="1" l="1"/>
  <c r="AG30" i="1"/>
  <c r="AE31" i="1"/>
  <c r="AE60" i="1" s="1"/>
  <c r="AF31" i="1" l="1"/>
  <c r="AE71" i="1"/>
  <c r="AF60" i="1"/>
  <c r="AG60" i="1"/>
  <c r="AG31" i="1"/>
  <c r="AF71" i="1" l="1"/>
  <c r="AG71" i="1"/>
</calcChain>
</file>

<file path=xl/sharedStrings.xml><?xml version="1.0" encoding="utf-8"?>
<sst xmlns="http://schemas.openxmlformats.org/spreadsheetml/2006/main" count="341" uniqueCount="144">
  <si>
    <t>Oct 2024 - Mar 2025</t>
  </si>
  <si>
    <t>Oct 2023 - Mar 2024 (PY)</t>
  </si>
  <si>
    <t>Change</t>
  </si>
  <si>
    <t>% Change</t>
  </si>
  <si>
    <t>Income</t>
  </si>
  <si>
    <t xml:space="preserve">   Donations</t>
  </si>
  <si>
    <t xml:space="preserve">   Food/Catering</t>
  </si>
  <si>
    <t xml:space="preserve">      Beverage Sales</t>
  </si>
  <si>
    <t xml:space="preserve">      Food Sales</t>
  </si>
  <si>
    <t xml:space="preserve">   Total Food/Catering</t>
  </si>
  <si>
    <t xml:space="preserve">   Grants</t>
  </si>
  <si>
    <t xml:space="preserve">   Membership Dues</t>
  </si>
  <si>
    <t xml:space="preserve">   Miscellaneous Income</t>
  </si>
  <si>
    <t xml:space="preserve">      Sales Tax Discount</t>
  </si>
  <si>
    <t xml:space="preserve">   Total Miscellaneous Income</t>
  </si>
  <si>
    <t xml:space="preserve">   Room Rent</t>
  </si>
  <si>
    <t xml:space="preserve">   Special Event Income</t>
  </si>
  <si>
    <t>Total Income</t>
  </si>
  <si>
    <t xml:space="preserve">      Beverage</t>
  </si>
  <si>
    <t xml:space="preserve">      Delivery Fee</t>
  </si>
  <si>
    <t xml:space="preserve">      Food</t>
  </si>
  <si>
    <t xml:space="preserve">      Literature and Merchandise</t>
  </si>
  <si>
    <t xml:space="preserve">      Special Events</t>
  </si>
  <si>
    <t xml:space="preserve">      Supplies</t>
  </si>
  <si>
    <t>Gross Profit</t>
  </si>
  <si>
    <t>Expenses</t>
  </si>
  <si>
    <t xml:space="preserve">   Education/Training</t>
  </si>
  <si>
    <t xml:space="preserve">   Insurance</t>
  </si>
  <si>
    <t xml:space="preserve">      Liability</t>
  </si>
  <si>
    <t xml:space="preserve">      Workers Comp</t>
  </si>
  <si>
    <t xml:space="preserve">   Total Insurance</t>
  </si>
  <si>
    <t xml:space="preserve">   Occupancy</t>
  </si>
  <si>
    <t xml:space="preserve">      Building Supplies</t>
  </si>
  <si>
    <t xml:space="preserve">      Repairs and Maintenance</t>
  </si>
  <si>
    <t xml:space="preserve">      Utilities</t>
  </si>
  <si>
    <t xml:space="preserve">   Total Occupancy</t>
  </si>
  <si>
    <t xml:space="preserve">   Outside Services</t>
  </si>
  <si>
    <t xml:space="preserve">      Accounting Services</t>
  </si>
  <si>
    <t xml:space="preserve">      Security Systems</t>
  </si>
  <si>
    <t xml:space="preserve">      Snow Removal and Salting</t>
  </si>
  <si>
    <t xml:space="preserve">   Total Outside Services</t>
  </si>
  <si>
    <t xml:space="preserve">   Payroll Expense</t>
  </si>
  <si>
    <t xml:space="preserve">      Payroll Tax</t>
  </si>
  <si>
    <t xml:space="preserve">      Wages - Hourly</t>
  </si>
  <si>
    <t xml:space="preserve">      Wages - Salary</t>
  </si>
  <si>
    <t xml:space="preserve">   Total Payroll Expense</t>
  </si>
  <si>
    <t>Total Expenses</t>
  </si>
  <si>
    <t>Net Operating Income</t>
  </si>
  <si>
    <t>Other Income</t>
  </si>
  <si>
    <t xml:space="preserve">   Interest Income</t>
  </si>
  <si>
    <t>Total Other Income</t>
  </si>
  <si>
    <t>Other Expenses</t>
  </si>
  <si>
    <t xml:space="preserve">   Penalties</t>
  </si>
  <si>
    <t>Total Other Expenses</t>
  </si>
  <si>
    <t>Net Other Income</t>
  </si>
  <si>
    <t>Net Income</t>
  </si>
  <si>
    <t>Alano Club of Kent County</t>
  </si>
  <si>
    <t>Profit and Loss</t>
  </si>
  <si>
    <t>October 2024 - March 2025</t>
  </si>
  <si>
    <t xml:space="preserve">   Literature &amp; Merchandise Sales</t>
  </si>
  <si>
    <t>Cost of Goods Purchased</t>
  </si>
  <si>
    <t>Total Cost of Goods Purchased</t>
  </si>
  <si>
    <t xml:space="preserve">   Office &amp; Technology</t>
  </si>
  <si>
    <t xml:space="preserve">   Operations, Outreach &amp; Marketing</t>
  </si>
  <si>
    <t xml:space="preserve">      Fundraising/Grantwriting</t>
  </si>
  <si>
    <t xml:space="preserve">   Endowment Proceeds</t>
  </si>
  <si>
    <t xml:space="preserve">   Deferred Maintenance Grant Funds</t>
  </si>
  <si>
    <t>October - December, 2024</t>
  </si>
  <si>
    <t>Oct - Dec, 2024</t>
  </si>
  <si>
    <t>Oct - Dec, 2023 (PY)</t>
  </si>
  <si>
    <t>Jan - Mar 2025</t>
  </si>
  <si>
    <t>Jan - Mar 2024</t>
  </si>
  <si>
    <t>FY 2025</t>
  </si>
  <si>
    <t>FY 2024</t>
  </si>
  <si>
    <t>Q1 2025</t>
  </si>
  <si>
    <t>Q2 2025</t>
  </si>
  <si>
    <t>Q1&amp;2 Total</t>
  </si>
  <si>
    <t>Q1 2024</t>
  </si>
  <si>
    <t>Q2 2024</t>
  </si>
  <si>
    <t>1/2 Yr Comparison</t>
  </si>
  <si>
    <t>Yr on Yr Change</t>
  </si>
  <si>
    <t>Q1 Budget</t>
  </si>
  <si>
    <t>Q2 Budget</t>
  </si>
  <si>
    <t>1/2 Yr Budget</t>
  </si>
  <si>
    <t xml:space="preserve">      Legal and Professional</t>
  </si>
  <si>
    <t>1/2 Year Actual</t>
  </si>
  <si>
    <t>Difference</t>
  </si>
  <si>
    <t>% Variance</t>
  </si>
  <si>
    <t>FY 2025 Budget Comparison</t>
  </si>
  <si>
    <t>General Notes:</t>
  </si>
  <si>
    <t>Budgets were prepared based on last years and previous years performance so there are some huge changes as can be seen.</t>
  </si>
  <si>
    <t>Operations:</t>
  </si>
  <si>
    <t xml:space="preserve">1. Cafeteria employed a chef for a couple months, during this time the café and food choices expanded and improved greatly! </t>
  </si>
  <si>
    <t xml:space="preserve">Food was generally well liked and selections of food is based on our working partnership with Guiding light - they help us </t>
  </si>
  <si>
    <t xml:space="preserve">out with food sourcing and so we don't always get the sames things. This provided for a well assorted selections of foods each </t>
  </si>
  <si>
    <t xml:space="preserve">week. </t>
  </si>
  <si>
    <t xml:space="preserve">We lost that Chef due to some private circumstances and are now searching for a replacement. The amazing part as that we proved the concept that we </t>
  </si>
  <si>
    <t>can offer some expanded menu items and sales will increase to show that people are interested and will</t>
  </si>
  <si>
    <t>stay around in the club to eat and have community.</t>
  </si>
  <si>
    <t>We adjusted our budget from last year's 6,000 to 10,000 and still exceded that for a total of 16,000.</t>
  </si>
  <si>
    <t>Total Café food and drink sales were 24,000, against last years of 13,000 and a budget increase to 18,000.</t>
  </si>
  <si>
    <t>Costs on the other hand fell not only way below budget but even below last year's costs of good sold.</t>
  </si>
  <si>
    <t>This is huge progress for us!</t>
  </si>
  <si>
    <t xml:space="preserve">Room rent is up, which is very good news. We are much closer to where we planned to be with the </t>
  </si>
  <si>
    <t>budget. We are not at 2$ per person per meeting but we are moving in the right direction.</t>
  </si>
  <si>
    <t xml:space="preserve">Grants: We had a large grant come in at the end of the calendar year. We cannot reveal who this is </t>
  </si>
  <si>
    <t xml:space="preserve">but they are an excellent partner for the commnity and we are hoping this relationship can be </t>
  </si>
  <si>
    <t>developed and we  can form a solid partnership with them</t>
  </si>
  <si>
    <t xml:space="preserve">Our building occupancy costs were also lower than expected despite some of the issues with the </t>
  </si>
  <si>
    <t xml:space="preserve">plumbing systems. </t>
  </si>
  <si>
    <t xml:space="preserve">For outside services not biulding related, costs were higher but we had paid our snow plowing bills </t>
  </si>
  <si>
    <t>in the summer last year, and we have incurred some snow plowing this year already during the season</t>
  </si>
  <si>
    <t xml:space="preserve">Payroll is lower than we budgeted, even with the new chef, we expected to be 93,000 per the budget and </t>
  </si>
  <si>
    <t xml:space="preserve">we came in at 73,000, which is only 4800 more than last year. </t>
  </si>
  <si>
    <t>Q1 Notes</t>
  </si>
  <si>
    <t>Q2 Notes</t>
  </si>
  <si>
    <t>The chef has not been replaced. Management instead decided to forge forward with the existing staff</t>
  </si>
  <si>
    <t xml:space="preserve">and maintaining a rotation of menu items. You may have seen fish around Lent and Easter, now we </t>
  </si>
  <si>
    <t xml:space="preserve">have a more summer menu, and the staff have kept it interesting with some amazing homemade sauces, soups and other things. </t>
  </si>
  <si>
    <t xml:space="preserve">Sales in the café of food and drinks are ahead of last year, food sales especially! </t>
  </si>
  <si>
    <t>Income:</t>
  </si>
  <si>
    <t xml:space="preserve">Grants are way up and we are hoping to see more this year while donations are down by almost 20%. </t>
  </si>
  <si>
    <t>Food sales are up by almost 200% and over our plan for this year by 73%.</t>
  </si>
  <si>
    <t>Room rent is up 28% year on year and ahead of budget by 10%. Still hoping for some improvement here.</t>
  </si>
  <si>
    <t xml:space="preserve">Including grants, net income is up by 22% over budget and 60% over last year. </t>
  </si>
  <si>
    <t>On the other side, both donations and special event income are down. The gala did make money but that will</t>
  </si>
  <si>
    <t xml:space="preserve">in the next quarter report. </t>
  </si>
  <si>
    <t>Costs:</t>
  </si>
  <si>
    <t>Repairs and maintenance are significantly up as are building supplies as we go about making repairs and improvements.</t>
  </si>
  <si>
    <t xml:space="preserve">Utilities are up and that is probably mostly fed by the cafeteria. </t>
  </si>
  <si>
    <t xml:space="preserve">As for wages, we are down on the hourly but salary is above budget, total wages are about 5% higher than planned. </t>
  </si>
  <si>
    <t>Food costs are up 61%, but sales are up 192% we had budgeted for 24,000 in food costs so we are ahead by about 8%.</t>
  </si>
  <si>
    <t xml:space="preserve">Beverage Sales are about the same as last year, costs are down by 13%, and we are ahead of budget by 35%. </t>
  </si>
  <si>
    <t>Net Income:</t>
  </si>
  <si>
    <t xml:space="preserve">Last year we were at about 30,000 at this time, this year with the extra grants, we are at about 144,000 USD after a great </t>
  </si>
  <si>
    <t xml:space="preserve">1st Quarter. </t>
  </si>
  <si>
    <t xml:space="preserve">We had budgeted for about 24,000 for total profit by middle of year, as you can see we have some weak spots but the </t>
  </si>
  <si>
    <t>totals are great thanks to grants and the on time injection of the endowment proceeds. Even adjusting for that, we are about 95,000 ahead.</t>
  </si>
  <si>
    <t>Investments:</t>
  </si>
  <si>
    <t xml:space="preserve">Outside of the endowment, we have gotten started on our rolling CD program to make some interest on the cash that we do </t>
  </si>
  <si>
    <t>Membership is up by 13% over last year.</t>
  </si>
  <si>
    <t xml:space="preserve">This was a point of concern for the board but it looks like it has had no impact at all. </t>
  </si>
  <si>
    <t xml:space="preserve">Beverage sales are the same as last year, but are only 1% off from budget. Remember, we are offering a self serve membership coffee station. </t>
  </si>
  <si>
    <t>not need for operations. The interest from the endowment will be going in to that along with our operational reserves.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</si>
</sst>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\ _€"/>
    <numFmt numFmtId="165" formatCode="&quot;$&quot;* #,##0.00\ _€"/>
    <numFmt numFmtId="166" formatCode="0.0%"/>
  </numFmts>
  <fonts count="19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color indexed="8"/>
      <name val="Arial"/>
      <family val="2"/>
    </font>
    <font>
      <b/>
      <sz val="9"/>
      <color indexed="8"/>
      <name val="Aptos Narrow"/>
      <family val="2"/>
      <scheme val="minor"/>
    </font>
    <font>
      <sz val="9"/>
      <name val="Arial"/>
      <family val="2"/>
    </font>
    <font>
      <b/>
      <sz val="10"/>
      <color indexed="8"/>
      <name val="Aptos Narrow"/>
      <family val="2"/>
      <scheme val="minor"/>
    </font>
    <font>
      <b/>
      <sz val="12"/>
      <color rgb="FF00000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8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center" wrapText="1"/>
    </xf>
    <xf numFmtId="49" fontId="14" fillId="0" borderId="0" xfId="0" applyNumberFormat="1" applyFont="1"/>
    <xf numFmtId="0" fontId="14" fillId="0" borderId="0" xfId="0" applyFont="1"/>
    <xf numFmtId="165" fontId="1" fillId="0" borderId="0" xfId="0" applyNumberFormat="1" applyFont="1" applyAlignment="1">
      <alignment horizontal="right" wrapText="1"/>
    </xf>
    <xf numFmtId="0" fontId="13" fillId="0" borderId="3" xfId="0" applyFont="1" applyBorder="1" applyAlignment="1">
      <alignment wrapText="1"/>
    </xf>
    <xf numFmtId="164" fontId="10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center"/>
    </xf>
    <xf numFmtId="0" fontId="7" fillId="0" borderId="0" xfId="0" applyFont="1"/>
    <xf numFmtId="165" fontId="2" fillId="0" borderId="0" xfId="0" applyNumberFormat="1" applyFont="1" applyAlignment="1">
      <alignment horizontal="right" wrapText="1"/>
    </xf>
    <xf numFmtId="10" fontId="2" fillId="0" borderId="0" xfId="0" applyNumberFormat="1" applyFont="1" applyAlignment="1">
      <alignment horizontal="right" wrapText="1"/>
    </xf>
    <xf numFmtId="44" fontId="16" fillId="0" borderId="1" xfId="1" applyFont="1" applyBorder="1" applyAlignment="1">
      <alignment wrapText="1"/>
    </xf>
    <xf numFmtId="44" fontId="5" fillId="0" borderId="2" xfId="1" applyFont="1" applyBorder="1" applyAlignment="1">
      <alignment horizontal="right" wrapText="1"/>
    </xf>
    <xf numFmtId="44" fontId="16" fillId="0" borderId="0" xfId="1" applyFont="1" applyBorder="1" applyAlignment="1">
      <alignment wrapText="1"/>
    </xf>
    <xf numFmtId="44" fontId="5" fillId="0" borderId="0" xfId="1" applyFont="1" applyBorder="1" applyAlignment="1">
      <alignment horizontal="right" wrapText="1"/>
    </xf>
    <xf numFmtId="44" fontId="17" fillId="0" borderId="0" xfId="1" applyFont="1" applyBorder="1"/>
    <xf numFmtId="44" fontId="17" fillId="0" borderId="1" xfId="1" applyFont="1" applyBorder="1"/>
    <xf numFmtId="165" fontId="5" fillId="0" borderId="2" xfId="0" applyNumberFormat="1" applyFont="1" applyBorder="1" applyAlignment="1">
      <alignment horizontal="right" wrapText="1"/>
    </xf>
    <xf numFmtId="0" fontId="17" fillId="0" borderId="0" xfId="0" applyFont="1"/>
    <xf numFmtId="164" fontId="16" fillId="0" borderId="1" xfId="0" applyNumberFormat="1" applyFont="1" applyBorder="1" applyAlignment="1">
      <alignment wrapText="1"/>
    </xf>
    <xf numFmtId="44" fontId="16" fillId="0" borderId="0" xfId="1" applyFont="1" applyBorder="1" applyAlignment="1">
      <alignment horizontal="left" wrapText="1"/>
    </xf>
    <xf numFmtId="44" fontId="16" fillId="0" borderId="1" xfId="1" applyFont="1" applyBorder="1" applyAlignment="1">
      <alignment horizontal="left" wrapText="1"/>
    </xf>
    <xf numFmtId="44" fontId="16" fillId="0" borderId="3" xfId="1" applyFont="1" applyBorder="1" applyAlignment="1">
      <alignment horizontal="left" wrapText="1"/>
    </xf>
    <xf numFmtId="44" fontId="16" fillId="0" borderId="0" xfId="1" applyFont="1" applyFill="1" applyBorder="1" applyAlignment="1">
      <alignment horizontal="left" wrapText="1"/>
    </xf>
    <xf numFmtId="44" fontId="17" fillId="0" borderId="3" xfId="1" applyFont="1" applyBorder="1" applyAlignment="1">
      <alignment wrapText="1"/>
    </xf>
    <xf numFmtId="44" fontId="5" fillId="0" borderId="3" xfId="1" applyFont="1" applyBorder="1" applyAlignment="1">
      <alignment horizontal="left" wrapText="1"/>
    </xf>
    <xf numFmtId="44" fontId="3" fillId="0" borderId="0" xfId="0" applyNumberFormat="1" applyFont="1" applyAlignment="1">
      <alignment horizontal="right" wrapText="1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9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5" xfId="0" applyBorder="1"/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8" xfId="0" applyBorder="1" applyAlignment="1">
      <alignment wrapText="1"/>
    </xf>
    <xf numFmtId="0" fontId="1" fillId="0" borderId="0" xfId="0" applyFont="1" applyAlignment="1">
      <alignment horizontal="left" wrapText="1"/>
    </xf>
    <xf numFmtId="44" fontId="16" fillId="0" borderId="0" xfId="1" applyFont="1" applyBorder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44" fontId="18" fillId="0" borderId="0" xfId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44" fontId="17" fillId="0" borderId="0" xfId="1" applyFont="1" applyFill="1" applyBorder="1"/>
    <xf numFmtId="44" fontId="5" fillId="0" borderId="0" xfId="1" applyFont="1" applyBorder="1" applyAlignment="1">
      <alignment horizontal="left" wrapText="1"/>
    </xf>
    <xf numFmtId="0" fontId="0" fillId="0" borderId="9" xfId="0" applyBorder="1"/>
    <xf numFmtId="0" fontId="9" fillId="0" borderId="10" xfId="0" applyFont="1" applyBorder="1"/>
    <xf numFmtId="0" fontId="0" fillId="0" borderId="10" xfId="0" applyBorder="1"/>
    <xf numFmtId="44" fontId="17" fillId="0" borderId="10" xfId="1" applyFont="1" applyBorder="1"/>
    <xf numFmtId="164" fontId="3" fillId="0" borderId="10" xfId="0" applyNumberFormat="1" applyFont="1" applyBorder="1" applyAlignment="1">
      <alignment horizontal="right" wrapText="1"/>
    </xf>
    <xf numFmtId="44" fontId="3" fillId="0" borderId="10" xfId="0" applyNumberFormat="1" applyFont="1" applyBorder="1" applyAlignment="1">
      <alignment horizontal="right" wrapText="1"/>
    </xf>
    <xf numFmtId="0" fontId="3" fillId="0" borderId="10" xfId="0" applyFont="1" applyBorder="1"/>
    <xf numFmtId="44" fontId="16" fillId="0" borderId="2" xfId="1" applyFont="1" applyBorder="1" applyAlignment="1">
      <alignment horizontal="left" wrapText="1"/>
    </xf>
    <xf numFmtId="44" fontId="5" fillId="0" borderId="0" xfId="1" applyFont="1" applyFill="1" applyBorder="1" applyAlignment="1">
      <alignment horizontal="right" wrapText="1"/>
    </xf>
    <xf numFmtId="44" fontId="16" fillId="0" borderId="0" xfId="1" applyFont="1" applyBorder="1"/>
    <xf numFmtId="44" fontId="16" fillId="0" borderId="0" xfId="0" applyNumberFormat="1" applyFont="1"/>
    <xf numFmtId="166" fontId="16" fillId="0" borderId="0" xfId="2" applyNumberFormat="1" applyFont="1" applyBorder="1"/>
    <xf numFmtId="0" fontId="16" fillId="0" borderId="0" xfId="0" applyFont="1"/>
    <xf numFmtId="44" fontId="16" fillId="0" borderId="1" xfId="1" applyFont="1" applyBorder="1" applyAlignment="1">
      <alignment horizontal="right" wrapText="1"/>
    </xf>
    <xf numFmtId="44" fontId="16" fillId="0" borderId="1" xfId="1" applyFont="1" applyBorder="1"/>
    <xf numFmtId="0" fontId="16" fillId="0" borderId="1" xfId="0" applyFont="1" applyBorder="1"/>
    <xf numFmtId="44" fontId="5" fillId="0" borderId="1" xfId="1" applyFont="1" applyBorder="1" applyAlignment="1">
      <alignment horizontal="right" wrapText="1"/>
    </xf>
    <xf numFmtId="44" fontId="16" fillId="0" borderId="1" xfId="0" applyNumberFormat="1" applyFont="1" applyBorder="1"/>
    <xf numFmtId="166" fontId="16" fillId="0" borderId="1" xfId="2" applyNumberFormat="1" applyFont="1" applyBorder="1"/>
    <xf numFmtId="44" fontId="16" fillId="0" borderId="0" xfId="1" applyFont="1" applyFill="1" applyBorder="1"/>
    <xf numFmtId="0" fontId="17" fillId="0" borderId="8" xfId="0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17" fillId="0" borderId="8" xfId="0" applyFont="1" applyBorder="1"/>
    <xf numFmtId="0" fontId="17" fillId="0" borderId="11" xfId="0" applyFont="1" applyBorder="1"/>
    <xf numFmtId="0" fontId="5" fillId="0" borderId="7" xfId="0" applyFont="1" applyBorder="1" applyAlignment="1">
      <alignment horizontal="left" wrapText="1"/>
    </xf>
    <xf numFmtId="0" fontId="17" fillId="0" borderId="7" xfId="0" applyFont="1" applyBorder="1"/>
    <xf numFmtId="0" fontId="5" fillId="0" borderId="0" xfId="0" applyFont="1" applyAlignment="1">
      <alignment horizontal="left" wrapText="1"/>
    </xf>
    <xf numFmtId="44" fontId="5" fillId="0" borderId="1" xfId="0" applyNumberFormat="1" applyFont="1" applyBorder="1"/>
    <xf numFmtId="166" fontId="5" fillId="0" borderId="1" xfId="2" applyNumberFormat="1" applyFont="1" applyBorder="1"/>
    <xf numFmtId="164" fontId="16" fillId="0" borderId="0" xfId="0" applyNumberFormat="1" applyFont="1" applyAlignment="1">
      <alignment horizontal="right" wrapText="1"/>
    </xf>
    <xf numFmtId="166" fontId="16" fillId="0" borderId="0" xfId="0" applyNumberFormat="1" applyFont="1" applyAlignment="1">
      <alignment horizontal="right" wrapText="1"/>
    </xf>
    <xf numFmtId="166" fontId="5" fillId="0" borderId="2" xfId="0" applyNumberFormat="1" applyFont="1" applyBorder="1" applyAlignment="1">
      <alignment horizontal="right" wrapText="1"/>
    </xf>
    <xf numFmtId="166" fontId="17" fillId="0" borderId="0" xfId="0" applyNumberFormat="1" applyFont="1"/>
    <xf numFmtId="164" fontId="16" fillId="0" borderId="1" xfId="0" applyNumberFormat="1" applyFont="1" applyBorder="1" applyAlignment="1">
      <alignment horizontal="right" wrapText="1"/>
    </xf>
    <xf numFmtId="166" fontId="16" fillId="0" borderId="1" xfId="0" applyNumberFormat="1" applyFont="1" applyBorder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horizontal="right" wrapText="1"/>
    </xf>
    <xf numFmtId="164" fontId="16" fillId="0" borderId="0" xfId="0" applyNumberFormat="1" applyFont="1" applyAlignment="1">
      <alignment wrapText="1"/>
    </xf>
    <xf numFmtId="166" fontId="16" fillId="0" borderId="0" xfId="0" applyNumberFormat="1" applyFont="1" applyAlignment="1">
      <alignment wrapText="1"/>
    </xf>
    <xf numFmtId="166" fontId="16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right" wrapText="1"/>
    </xf>
    <xf numFmtId="166" fontId="5" fillId="0" borderId="1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17" fillId="0" borderId="10" xfId="0" applyFont="1" applyBorder="1"/>
    <xf numFmtId="166" fontId="17" fillId="0" borderId="10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mic\Desktop\Personal\Al%20Anon\North%20Club\Finance%20and%20Treasury\Financial%20Reports\Budgeting\1031%202024%202024%20Summary%20and%20Rolling%20Cash%20Plan%201.2.xlsx" TargetMode="External"/><Relationship Id="rId1" Type="http://schemas.openxmlformats.org/officeDocument/2006/relationships/externalLinkPath" Target="file:///C:\Users\grmic\Desktop\Personal\Al%20Anon\North%20Club\Finance%20and%20Treasury\Financial%20Reports\Budgeting\1031%202024%202024%20Summary%20and%20Rolling%20Cash%20Plan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024"/>
      <sheetName val="2025 Budget Abbrvte"/>
    </sheetNames>
    <sheetDataSet>
      <sheetData sheetId="0"/>
      <sheetData sheetId="1">
        <row r="4">
          <cell r="AC4">
            <v>2669.3315567399513</v>
          </cell>
          <cell r="AD4">
            <v>3121.2524983344438</v>
          </cell>
          <cell r="AE4">
            <v>4148.3455474128359</v>
          </cell>
          <cell r="AF4">
            <v>4536.9753497668225</v>
          </cell>
          <cell r="AG4">
            <v>3564.290473017988</v>
          </cell>
          <cell r="AH4">
            <v>3748.6120364201643</v>
          </cell>
        </row>
        <row r="5">
          <cell r="AC5">
            <v>1491.1512650683658</v>
          </cell>
          <cell r="AD5">
            <v>1167.2966795828429</v>
          </cell>
          <cell r="AE5">
            <v>1339.5836446945866</v>
          </cell>
          <cell r="AF5">
            <v>1358.1741897620775</v>
          </cell>
          <cell r="AG5">
            <v>1503.3554111244362</v>
          </cell>
          <cell r="AH5">
            <v>1640.6775706896365</v>
          </cell>
        </row>
        <row r="6">
          <cell r="AC6">
            <v>11183.634488012744</v>
          </cell>
          <cell r="AD6">
            <v>8754.7250968713215</v>
          </cell>
          <cell r="AE6">
            <v>10046.877335209399</v>
          </cell>
          <cell r="AF6">
            <v>10186.306423215581</v>
          </cell>
          <cell r="AG6">
            <v>11275.165583433272</v>
          </cell>
          <cell r="AH6">
            <v>12305.081780172273</v>
          </cell>
        </row>
        <row r="8">
          <cell r="AC8">
            <v>2376.7950517949862</v>
          </cell>
          <cell r="AD8">
            <v>2531.2074027969616</v>
          </cell>
          <cell r="AE8">
            <v>2980.7666189514707</v>
          </cell>
          <cell r="AF8">
            <v>2663.8353963023983</v>
          </cell>
          <cell r="AG8">
            <v>2839.5823104649908</v>
          </cell>
          <cell r="AH8">
            <v>3388.7914172230921</v>
          </cell>
        </row>
        <row r="9">
          <cell r="AC9">
            <v>2344.5378254640873</v>
          </cell>
          <cell r="AD9">
            <v>3477.5963467196316</v>
          </cell>
          <cell r="AE9">
            <v>4345.2319807198919</v>
          </cell>
          <cell r="AF9">
            <v>4604.4637535315187</v>
          </cell>
          <cell r="AG9">
            <v>4922.3927042652558</v>
          </cell>
          <cell r="AH9">
            <v>5065.3465517061086</v>
          </cell>
        </row>
        <row r="11">
          <cell r="AC11">
            <v>4990.1696785644017</v>
          </cell>
          <cell r="AD11">
            <v>6290.6586771057273</v>
          </cell>
          <cell r="AE11">
            <v>7375.0449532329494</v>
          </cell>
          <cell r="AF11">
            <v>7207.5253392801833</v>
          </cell>
          <cell r="AG11">
            <v>7648.1350029814439</v>
          </cell>
          <cell r="AH11">
            <v>8484.2001432228299</v>
          </cell>
        </row>
        <row r="12">
          <cell r="AC12">
            <v>13595.320789371362</v>
          </cell>
          <cell r="AD12">
            <v>11763.044810870435</v>
          </cell>
          <cell r="AE12">
            <v>12177.678127635496</v>
          </cell>
          <cell r="AF12">
            <v>11279.118485324705</v>
          </cell>
          <cell r="AG12">
            <v>14939.02076084713</v>
          </cell>
          <cell r="AH12">
            <v>3412.9125867612011</v>
          </cell>
        </row>
        <row r="13">
          <cell r="AC13">
            <v>12017.126899107769</v>
          </cell>
          <cell r="AD13">
            <v>4115.4069204408961</v>
          </cell>
          <cell r="AE13">
            <v>2554.0938482339302</v>
          </cell>
          <cell r="AF13">
            <v>5430.2164984256469</v>
          </cell>
          <cell r="AG13">
            <v>0</v>
          </cell>
          <cell r="AH13">
            <v>0</v>
          </cell>
        </row>
        <row r="14">
          <cell r="AC14">
            <v>7898.5139930101659</v>
          </cell>
          <cell r="AD14">
            <v>2574.0812025260975</v>
          </cell>
          <cell r="AE14">
            <v>19708.296332432608</v>
          </cell>
          <cell r="AF14">
            <v>12207.534082117227</v>
          </cell>
          <cell r="AG14">
            <v>2389.9119982010893</v>
          </cell>
          <cell r="AH14">
            <v>5546.7812074807243</v>
          </cell>
        </row>
        <row r="15">
          <cell r="AC15">
            <v>53845.248669874753</v>
          </cell>
          <cell r="AD15">
            <v>37786.465885731763</v>
          </cell>
          <cell r="AE15">
            <v>57349.919788851803</v>
          </cell>
          <cell r="AF15">
            <v>52205.850367892243</v>
          </cell>
          <cell r="AG15">
            <v>41319.879229605358</v>
          </cell>
          <cell r="AH15">
            <v>35138.265324746826</v>
          </cell>
        </row>
        <row r="18">
          <cell r="AC18">
            <v>60.28938906752412</v>
          </cell>
          <cell r="AD18">
            <v>90.434083601286176</v>
          </cell>
          <cell r="AE18">
            <v>80.385852090032159</v>
          </cell>
          <cell r="AF18">
            <v>234.0735530546624</v>
          </cell>
          <cell r="AG18">
            <v>66.4439308681672</v>
          </cell>
          <cell r="AH18">
            <v>23.613344051446948</v>
          </cell>
        </row>
        <row r="19">
          <cell r="AC19">
            <v>1806.4148877612715</v>
          </cell>
          <cell r="AD19">
            <v>102.64361834921992</v>
          </cell>
          <cell r="AE19">
            <v>636.72881932016094</v>
          </cell>
          <cell r="AF19">
            <v>1878.8857941232206</v>
          </cell>
          <cell r="AG19">
            <v>108.84735352417277</v>
          </cell>
          <cell r="AH19">
            <v>1386.2528236394646</v>
          </cell>
        </row>
        <row r="20">
          <cell r="AC20">
            <v>3425.0552347249786</v>
          </cell>
          <cell r="AD20">
            <v>3851.7305094587173</v>
          </cell>
          <cell r="AE20">
            <v>4744.7683557096207</v>
          </cell>
          <cell r="AF20">
            <v>3218.5018078949997</v>
          </cell>
          <cell r="AG20">
            <v>3525.0570429548361</v>
          </cell>
          <cell r="AH20">
            <v>2956.3084786558557</v>
          </cell>
        </row>
        <row r="21">
          <cell r="AC21">
            <v>3896.9167418812044</v>
          </cell>
          <cell r="AD21">
            <v>3998.9900965688557</v>
          </cell>
          <cell r="AE21">
            <v>4837.8185308141092</v>
          </cell>
          <cell r="AF21">
            <v>3873.6951849344341</v>
          </cell>
          <cell r="AG21">
            <v>4120.207673788359</v>
          </cell>
          <cell r="AH21">
            <v>3614.1107269476993</v>
          </cell>
        </row>
        <row r="22">
          <cell r="AC22">
            <v>1967.4831166068191</v>
          </cell>
          <cell r="AD22">
            <v>1788.6226486155472</v>
          </cell>
          <cell r="AE22">
            <v>2024.5517168017434</v>
          </cell>
          <cell r="AF22">
            <v>1907.7551483927355</v>
          </cell>
          <cell r="AG22">
            <v>871.96724233598889</v>
          </cell>
          <cell r="AH22">
            <v>1956.2706460395543</v>
          </cell>
        </row>
        <row r="23">
          <cell r="AC23">
            <v>2360.9797399281829</v>
          </cell>
          <cell r="AD23">
            <v>2146.3471783386567</v>
          </cell>
          <cell r="AE23">
            <v>2429.4620601620923</v>
          </cell>
          <cell r="AF23">
            <v>2289.3061780712824</v>
          </cell>
          <cell r="AG23">
            <v>1046.3606908031866</v>
          </cell>
          <cell r="AH23">
            <v>2347.5247752474652</v>
          </cell>
        </row>
        <row r="25">
          <cell r="AC25">
            <v>13517.139109969981</v>
          </cell>
          <cell r="AD25">
            <v>11978.768134932281</v>
          </cell>
          <cell r="AE25">
            <v>14753.715334897759</v>
          </cell>
          <cell r="AF25">
            <v>13402.217666471333</v>
          </cell>
          <cell r="AG25">
            <v>9738.8839342747124</v>
          </cell>
          <cell r="AH25">
            <v>12284.080794581485</v>
          </cell>
        </row>
        <row r="26">
          <cell r="AC26">
            <v>40328.109559904769</v>
          </cell>
          <cell r="AD26">
            <v>25807.697750799482</v>
          </cell>
          <cell r="AE26">
            <v>42596.204453954044</v>
          </cell>
          <cell r="AF26">
            <v>38803.632701420909</v>
          </cell>
          <cell r="AG26">
            <v>31580.995295330646</v>
          </cell>
          <cell r="AH26">
            <v>22854.184530165341</v>
          </cell>
        </row>
        <row r="28">
          <cell r="AC28">
            <v>223.43923764236686</v>
          </cell>
          <cell r="AD28">
            <v>153.25766000690265</v>
          </cell>
          <cell r="AE28">
            <v>78.426391072592708</v>
          </cell>
          <cell r="AF28">
            <v>115.67664992138667</v>
          </cell>
          <cell r="AG28">
            <v>1460.3386125704646</v>
          </cell>
          <cell r="AH28">
            <v>1460.3386125704646</v>
          </cell>
        </row>
        <row r="29">
          <cell r="AC29">
            <v>921.98732724155889</v>
          </cell>
          <cell r="AD29">
            <v>1038.7734036495838</v>
          </cell>
          <cell r="AE29">
            <v>2184.3000295352608</v>
          </cell>
          <cell r="AF29">
            <v>1417.9361246692506</v>
          </cell>
          <cell r="AG29">
            <v>931.54822620965172</v>
          </cell>
          <cell r="AH29">
            <v>1349.2133572457305</v>
          </cell>
        </row>
        <row r="31">
          <cell r="AC31">
            <v>3648.6539220319733</v>
          </cell>
          <cell r="AD31">
            <v>16090.802270273554</v>
          </cell>
          <cell r="AE31">
            <v>6012.7561970750085</v>
          </cell>
          <cell r="AF31">
            <v>0</v>
          </cell>
          <cell r="AG31">
            <v>2099.9596761955145</v>
          </cell>
          <cell r="AH31">
            <v>325.84235560392494</v>
          </cell>
        </row>
        <row r="32">
          <cell r="AC32">
            <v>617.21922305023577</v>
          </cell>
          <cell r="AD32">
            <v>437.88602454999449</v>
          </cell>
          <cell r="AE32">
            <v>437.3259486285919</v>
          </cell>
          <cell r="AF32">
            <v>649.54804984675695</v>
          </cell>
          <cell r="AG32">
            <v>436.20579678578645</v>
          </cell>
          <cell r="AH32">
            <v>435.78573984473451</v>
          </cell>
        </row>
        <row r="33">
          <cell r="AC33">
            <v>2012.3309123113129</v>
          </cell>
          <cell r="AD33">
            <v>1635.1972299249412</v>
          </cell>
          <cell r="AE33">
            <v>2709.5525882674365</v>
          </cell>
          <cell r="AF33">
            <v>2478.2296094996632</v>
          </cell>
          <cell r="AG33">
            <v>1929.5803972447075</v>
          </cell>
          <cell r="AH33">
            <v>2893.9461031136293</v>
          </cell>
        </row>
        <row r="34">
          <cell r="AC34">
            <v>6278.2040573935219</v>
          </cell>
          <cell r="AD34">
            <v>18163.88552474849</v>
          </cell>
          <cell r="AE34">
            <v>9159.6347339710373</v>
          </cell>
          <cell r="AF34">
            <v>3127.77765934642</v>
          </cell>
          <cell r="AG34">
            <v>4465.7458702260083</v>
          </cell>
          <cell r="AH34">
            <v>3655.574198562289</v>
          </cell>
        </row>
        <row r="37">
          <cell r="AC37">
            <v>0</v>
          </cell>
          <cell r="AD37">
            <v>293.40489214573228</v>
          </cell>
          <cell r="AE37">
            <v>0</v>
          </cell>
          <cell r="AF37">
            <v>0</v>
          </cell>
          <cell r="AG37">
            <v>302.19836928475598</v>
          </cell>
          <cell r="AH37">
            <v>0</v>
          </cell>
        </row>
        <row r="38">
          <cell r="AF38">
            <v>0</v>
          </cell>
          <cell r="AG38">
            <v>0</v>
          </cell>
          <cell r="AH38">
            <v>0</v>
          </cell>
        </row>
        <row r="39"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AC40">
            <v>1500</v>
          </cell>
          <cell r="AD40">
            <v>1500</v>
          </cell>
          <cell r="AE40">
            <v>1500</v>
          </cell>
          <cell r="AF40">
            <v>1500</v>
          </cell>
          <cell r="AG40">
            <v>1500</v>
          </cell>
          <cell r="AH40">
            <v>1500</v>
          </cell>
        </row>
        <row r="41">
          <cell r="AC41">
            <v>1205.6737588652481</v>
          </cell>
          <cell r="AD41">
            <v>1045.4878943506972</v>
          </cell>
          <cell r="AE41">
            <v>1039.3739300562486</v>
          </cell>
          <cell r="AF41">
            <v>1198.33700171191</v>
          </cell>
          <cell r="AG41">
            <v>2445.5857177794082</v>
          </cell>
          <cell r="AH41">
            <v>0</v>
          </cell>
        </row>
        <row r="42">
          <cell r="AC42">
            <v>2705.6737588652481</v>
          </cell>
          <cell r="AD42">
            <v>2838.8927864964294</v>
          </cell>
          <cell r="AE42">
            <v>2539.3739300562484</v>
          </cell>
          <cell r="AF42">
            <v>2698.33700171191</v>
          </cell>
          <cell r="AG42">
            <v>4247.7840870641639</v>
          </cell>
          <cell r="AH42">
            <v>1500</v>
          </cell>
        </row>
        <row r="43">
          <cell r="AC43">
            <v>1349.3975903614457</v>
          </cell>
          <cell r="AD43">
            <v>0</v>
          </cell>
          <cell r="AE43">
            <v>0</v>
          </cell>
          <cell r="AF43">
            <v>240.96385542168676</v>
          </cell>
          <cell r="AG43">
            <v>120.48192771084338</v>
          </cell>
          <cell r="AH43">
            <v>289.15662650602411</v>
          </cell>
        </row>
        <row r="45">
          <cell r="AC45">
            <v>0</v>
          </cell>
          <cell r="AD45">
            <v>0</v>
          </cell>
          <cell r="AE45">
            <v>554.69877955085053</v>
          </cell>
        </row>
        <row r="46">
          <cell r="AC46">
            <v>0</v>
          </cell>
          <cell r="AD46">
            <v>0</v>
          </cell>
          <cell r="AE46">
            <v>0</v>
          </cell>
          <cell r="AF46">
            <v>569.19917864476383</v>
          </cell>
          <cell r="AG46">
            <v>0</v>
          </cell>
          <cell r="AH46">
            <v>0</v>
          </cell>
        </row>
        <row r="47">
          <cell r="AC47">
            <v>0</v>
          </cell>
          <cell r="AD47">
            <v>0</v>
          </cell>
          <cell r="AE47">
            <v>566.76795475700965</v>
          </cell>
          <cell r="AF47">
            <v>527.91692560027911</v>
          </cell>
          <cell r="AG47">
            <v>0</v>
          </cell>
          <cell r="AH47">
            <v>0</v>
          </cell>
        </row>
        <row r="49">
          <cell r="AC49">
            <v>2581.2594667008671</v>
          </cell>
          <cell r="AD49">
            <v>2836.3773986524648</v>
          </cell>
          <cell r="AE49">
            <v>2995.4521552015281</v>
          </cell>
          <cell r="AF49">
            <v>3102.925786534322</v>
          </cell>
          <cell r="AG49">
            <v>4446.5075171655099</v>
          </cell>
          <cell r="AH49">
            <v>2484.2701339414266</v>
          </cell>
        </row>
        <row r="50">
          <cell r="AC50">
            <v>12917.958146383948</v>
          </cell>
          <cell r="AD50">
            <v>12917.958146383948</v>
          </cell>
          <cell r="AE50">
            <v>12917.958146383948</v>
          </cell>
          <cell r="AF50">
            <v>12917.958146383948</v>
          </cell>
          <cell r="AG50">
            <v>15095.350926741427</v>
          </cell>
          <cell r="AH50">
            <v>6504.3956033500417</v>
          </cell>
        </row>
        <row r="51">
          <cell r="AC51">
            <v>1327.4286600004148</v>
          </cell>
          <cell r="AD51">
            <v>1433.1952972535576</v>
          </cell>
          <cell r="AE51">
            <v>1476.2903810454854</v>
          </cell>
          <cell r="AF51">
            <v>1998.7160569768021</v>
          </cell>
          <cell r="AG51">
            <v>2467.6237656389012</v>
          </cell>
          <cell r="AH51">
            <v>1196.3248961678203</v>
          </cell>
        </row>
        <row r="52">
          <cell r="AC52">
            <v>16826.646273085229</v>
          </cell>
          <cell r="AD52">
            <v>17187.530842289969</v>
          </cell>
          <cell r="AE52">
            <v>17389.700682630963</v>
          </cell>
          <cell r="AF52">
            <v>18019.599989895072</v>
          </cell>
          <cell r="AG52">
            <v>22009.48220954584</v>
          </cell>
          <cell r="AH52">
            <v>10184.990633459289</v>
          </cell>
        </row>
        <row r="53">
          <cell r="AF53">
            <v>26148.208206566003</v>
          </cell>
          <cell r="AG53">
            <v>33235.380933326975</v>
          </cell>
          <cell r="AH53">
            <v>18439.273428343797</v>
          </cell>
        </row>
        <row r="54">
          <cell r="AC54">
            <v>12022.7613153154</v>
          </cell>
          <cell r="AD54">
            <v>-13574.642466391888</v>
          </cell>
          <cell r="AE54">
            <v>10678.00073193093</v>
          </cell>
          <cell r="AF54">
            <v>12655.424494854906</v>
          </cell>
          <cell r="AG54">
            <v>-1654.385637996329</v>
          </cell>
          <cell r="AH54">
            <v>4414.9111018215444</v>
          </cell>
        </row>
        <row r="57"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58"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7"/>
  <sheetViews>
    <sheetView tabSelected="1" topLeftCell="C1" zoomScale="90" zoomScaleNormal="100" workbookViewId="0">
      <selection activeCell="X21" sqref="X21"/>
    </sheetView>
  </sheetViews>
  <sheetFormatPr defaultRowHeight="15.95" customHeight="1" x14ac:dyDescent="0.25"/>
  <cols>
    <col min="1" max="1" width="20" customWidth="1"/>
    <col min="3" max="3" width="30.42578125" customWidth="1"/>
    <col min="4" max="4" width="8.7109375" customWidth="1"/>
    <col min="5" max="5" width="32.7109375" customWidth="1"/>
    <col min="6" max="6" width="14.140625" style="7" bestFit="1" customWidth="1"/>
    <col min="7" max="7" width="13" style="7" customWidth="1"/>
    <col min="8" max="8" width="13" style="7" bestFit="1" customWidth="1"/>
    <col min="9" max="9" width="3.85546875" style="7" customWidth="1"/>
    <col min="10" max="10" width="13" style="7" bestFit="1" customWidth="1"/>
    <col min="11" max="11" width="11.85546875" style="7" bestFit="1" customWidth="1"/>
    <col min="12" max="12" width="6.5703125" customWidth="1"/>
    <col min="13" max="13" width="30.42578125" hidden="1" customWidth="1"/>
    <col min="14" max="14" width="12.85546875" style="7" bestFit="1" customWidth="1"/>
    <col min="15" max="15" width="11.7109375" style="7" bestFit="1" customWidth="1"/>
    <col min="16" max="16" width="13" style="7" bestFit="1" customWidth="1"/>
    <col min="17" max="17" width="7.85546875" style="7" customWidth="1"/>
    <col min="18" max="18" width="5.140625" style="7" customWidth="1"/>
    <col min="19" max="19" width="13.42578125" customWidth="1"/>
    <col min="20" max="20" width="13.28515625" style="39" customWidth="1"/>
    <col min="21" max="21" width="13.5703125" style="39" customWidth="1"/>
    <col min="22" max="22" width="13.42578125" style="39" bestFit="1" customWidth="1"/>
    <col min="23" max="23" width="14.7109375" style="39" customWidth="1"/>
    <col min="24" max="24" width="10.28515625" style="39" customWidth="1"/>
    <col min="25" max="27" width="32.7109375" customWidth="1"/>
    <col min="29" max="29" width="32.7109375" customWidth="1"/>
    <col min="30" max="33" width="10.28515625" customWidth="1"/>
  </cols>
  <sheetData>
    <row r="1" spans="1:33" ht="15.95" customHeight="1" x14ac:dyDescent="0.25">
      <c r="A1" s="9"/>
      <c r="C1" s="41"/>
      <c r="E1" s="42" t="s">
        <v>56</v>
      </c>
      <c r="F1" s="43"/>
      <c r="G1" s="44"/>
      <c r="H1" s="43"/>
      <c r="I1" s="43"/>
      <c r="J1" s="43"/>
      <c r="K1" s="43"/>
      <c r="L1" s="45"/>
      <c r="M1" s="46" t="s">
        <v>56</v>
      </c>
      <c r="N1" s="43"/>
      <c r="O1" s="43"/>
      <c r="P1" s="43"/>
      <c r="S1" s="45"/>
      <c r="T1" s="47"/>
      <c r="U1" s="47"/>
      <c r="V1" s="47"/>
      <c r="W1" s="47"/>
      <c r="X1" s="47"/>
      <c r="Y1" s="48" t="s">
        <v>56</v>
      </c>
      <c r="Z1" s="5"/>
      <c r="AA1" s="5"/>
      <c r="AC1" s="5" t="s">
        <v>56</v>
      </c>
    </row>
    <row r="2" spans="1:33" ht="15.95" customHeight="1" x14ac:dyDescent="0.25">
      <c r="A2" s="9"/>
      <c r="C2" s="5"/>
      <c r="E2" s="49" t="s">
        <v>57</v>
      </c>
      <c r="G2" s="50" t="s">
        <v>72</v>
      </c>
      <c r="M2" s="5" t="s">
        <v>57</v>
      </c>
      <c r="O2" s="20" t="s">
        <v>73</v>
      </c>
      <c r="T2" s="51" t="s">
        <v>88</v>
      </c>
      <c r="Y2" s="52" t="s">
        <v>57</v>
      </c>
      <c r="Z2" s="5"/>
      <c r="AA2" s="5"/>
      <c r="AC2" s="5" t="s">
        <v>57</v>
      </c>
      <c r="AE2" s="19" t="s">
        <v>79</v>
      </c>
    </row>
    <row r="3" spans="1:33" ht="15.95" customHeight="1" x14ac:dyDescent="0.25">
      <c r="A3" s="9"/>
      <c r="C3" s="6"/>
      <c r="E3" s="53" t="s">
        <v>58</v>
      </c>
      <c r="M3" s="6" t="s">
        <v>67</v>
      </c>
      <c r="Y3" s="54" t="s">
        <v>58</v>
      </c>
      <c r="Z3" s="6"/>
      <c r="AA3" s="6"/>
      <c r="AC3" s="6" t="s">
        <v>58</v>
      </c>
    </row>
    <row r="4" spans="1:33" ht="15.95" customHeight="1" x14ac:dyDescent="0.25">
      <c r="A4" s="9"/>
      <c r="E4" s="55"/>
      <c r="Y4" s="56"/>
    </row>
    <row r="5" spans="1:33" ht="15.95" customHeight="1" x14ac:dyDescent="0.25">
      <c r="A5" s="9"/>
      <c r="C5" s="3"/>
      <c r="E5" s="57"/>
      <c r="F5" s="2" t="s">
        <v>74</v>
      </c>
      <c r="G5" s="2" t="s">
        <v>75</v>
      </c>
      <c r="H5" s="2" t="s">
        <v>76</v>
      </c>
      <c r="J5" s="58"/>
      <c r="K5" s="58"/>
      <c r="M5" s="3"/>
      <c r="N5" s="59" t="s">
        <v>77</v>
      </c>
      <c r="O5" s="59" t="s">
        <v>78</v>
      </c>
      <c r="P5" s="59" t="s">
        <v>76</v>
      </c>
      <c r="Q5" s="59"/>
      <c r="R5" s="59"/>
      <c r="S5" s="40"/>
      <c r="T5" s="60"/>
      <c r="U5" s="60"/>
      <c r="Y5" s="61"/>
      <c r="Z5" s="3"/>
      <c r="AA5" s="3"/>
      <c r="AC5" s="3"/>
      <c r="AD5" s="40"/>
      <c r="AE5" s="3"/>
      <c r="AF5" s="3"/>
      <c r="AG5" s="3"/>
    </row>
    <row r="6" spans="1:33" ht="33.6" customHeight="1" x14ac:dyDescent="0.25">
      <c r="A6" s="9"/>
      <c r="C6" s="3"/>
      <c r="E6" s="57"/>
      <c r="F6" s="8" t="s">
        <v>68</v>
      </c>
      <c r="G6" s="12" t="s">
        <v>70</v>
      </c>
      <c r="H6" s="2" t="s">
        <v>0</v>
      </c>
      <c r="J6" s="2" t="s">
        <v>80</v>
      </c>
      <c r="K6" s="2" t="s">
        <v>3</v>
      </c>
      <c r="M6" s="3"/>
      <c r="N6" s="2" t="s">
        <v>69</v>
      </c>
      <c r="O6" s="2" t="s">
        <v>71</v>
      </c>
      <c r="P6" s="2" t="s">
        <v>1</v>
      </c>
      <c r="Q6" s="40"/>
      <c r="R6" s="40"/>
      <c r="S6" s="2" t="s">
        <v>85</v>
      </c>
      <c r="T6" s="2" t="s">
        <v>81</v>
      </c>
      <c r="U6" s="2" t="s">
        <v>82</v>
      </c>
      <c r="V6" s="2" t="s">
        <v>83</v>
      </c>
      <c r="W6" s="2" t="s">
        <v>86</v>
      </c>
      <c r="X6" s="2" t="s">
        <v>87</v>
      </c>
      <c r="Y6" s="89"/>
      <c r="Z6" s="3"/>
      <c r="AA6" s="3"/>
      <c r="AC6" s="3"/>
      <c r="AD6" s="2" t="s">
        <v>0</v>
      </c>
      <c r="AE6" s="2" t="s">
        <v>1</v>
      </c>
      <c r="AF6" s="2" t="s">
        <v>2</v>
      </c>
      <c r="AG6" s="2" t="s">
        <v>3</v>
      </c>
    </row>
    <row r="7" spans="1:33" ht="15.95" customHeight="1" x14ac:dyDescent="0.25">
      <c r="A7" s="9"/>
      <c r="C7" s="4"/>
      <c r="E7" s="93" t="s">
        <v>4</v>
      </c>
      <c r="F7" s="13"/>
      <c r="G7" s="62"/>
      <c r="H7" s="13"/>
      <c r="J7" s="13"/>
      <c r="K7" s="13"/>
      <c r="M7" s="4" t="s">
        <v>4</v>
      </c>
      <c r="N7" s="13"/>
      <c r="O7" s="13"/>
      <c r="P7" s="13"/>
      <c r="Q7" s="13"/>
      <c r="R7" s="13"/>
      <c r="S7" s="14"/>
      <c r="T7" s="14"/>
      <c r="U7" s="14"/>
      <c r="Y7" s="90" t="s">
        <v>4</v>
      </c>
      <c r="Z7" s="4"/>
      <c r="AA7" s="4"/>
      <c r="AC7" s="4" t="s">
        <v>4</v>
      </c>
      <c r="AD7" s="14"/>
      <c r="AE7" s="14"/>
      <c r="AF7" s="14"/>
      <c r="AG7" s="14"/>
    </row>
    <row r="8" spans="1:33" ht="15.95" customHeight="1" x14ac:dyDescent="0.25">
      <c r="A8" s="9"/>
      <c r="C8" s="4"/>
      <c r="E8" s="93" t="s">
        <v>11</v>
      </c>
      <c r="F8" s="63">
        <v>11364.05</v>
      </c>
      <c r="G8" s="32">
        <f t="shared" ref="G8:G13" si="0">H8-F8</f>
        <v>10936</v>
      </c>
      <c r="H8" s="63">
        <f>22300.05</f>
        <v>22300.05</v>
      </c>
      <c r="J8" s="98">
        <f t="shared" ref="J8:J13" si="1">(H8)-(P8)</f>
        <v>2677.0499999999993</v>
      </c>
      <c r="K8" s="99">
        <f t="shared" ref="K8:K13" si="2">IF(ABS((P8))=0,"",((H8)-(P8))/(ABS((P8))))</f>
        <v>0.13642409417520254</v>
      </c>
      <c r="M8" s="4" t="s">
        <v>11</v>
      </c>
      <c r="N8" s="63">
        <v>8951</v>
      </c>
      <c r="O8" s="25">
        <f t="shared" ref="O8:O13" si="3">P8-N8</f>
        <v>10672</v>
      </c>
      <c r="P8" s="63">
        <f>19623</f>
        <v>19623</v>
      </c>
      <c r="Q8" s="63"/>
      <c r="R8" s="64"/>
      <c r="S8" s="63">
        <f>22300.05</f>
        <v>22300.05</v>
      </c>
      <c r="T8" s="63">
        <f>SUM('[1]2025 Budget Abbrvte'!AC4:AE4)</f>
        <v>9938.929602487231</v>
      </c>
      <c r="U8" s="63">
        <f>SUM('[1]2025 Budget Abbrvte'!AF4:AH4)</f>
        <v>11849.877859204975</v>
      </c>
      <c r="V8" s="78">
        <f>T8+U8</f>
        <v>21788.807461692206</v>
      </c>
      <c r="W8" s="79">
        <f>S8-V8</f>
        <v>511.24253830779344</v>
      </c>
      <c r="X8" s="80">
        <f>W8/V8</f>
        <v>2.3463539214187371E-2</v>
      </c>
      <c r="Y8" s="90" t="s">
        <v>11</v>
      </c>
      <c r="Z8" s="4"/>
      <c r="AA8" s="4"/>
      <c r="AC8" s="4" t="s">
        <v>11</v>
      </c>
      <c r="AD8" s="15">
        <f>22300.05</f>
        <v>22300.05</v>
      </c>
      <c r="AE8" s="15">
        <f>19623</f>
        <v>19623</v>
      </c>
      <c r="AF8" s="15">
        <f t="shared" ref="AF8:AF13" si="4">(AD8)-(AE8)</f>
        <v>2677.0499999999993</v>
      </c>
      <c r="AG8" s="16">
        <f t="shared" ref="AG8:AG13" si="5">IF(ABS((AE8))=0,"",((AD8)-(AE8))/(ABS((AE8))))</f>
        <v>0.13642409417520254</v>
      </c>
    </row>
    <row r="9" spans="1:33" ht="15.95" customHeight="1" x14ac:dyDescent="0.25">
      <c r="A9" s="9"/>
      <c r="C9" s="4"/>
      <c r="E9" s="93" t="s">
        <v>59</v>
      </c>
      <c r="F9" s="63">
        <v>5152.99</v>
      </c>
      <c r="G9" s="32">
        <f t="shared" si="0"/>
        <v>5596.76</v>
      </c>
      <c r="H9" s="63">
        <f>196.2+10553.55</f>
        <v>10749.75</v>
      </c>
      <c r="J9" s="98">
        <f t="shared" si="1"/>
        <v>10749.75</v>
      </c>
      <c r="K9" s="99" t="str">
        <f t="shared" si="2"/>
        <v/>
      </c>
      <c r="M9" s="4" t="s">
        <v>59</v>
      </c>
      <c r="N9" s="25">
        <v>2741.98</v>
      </c>
      <c r="O9" s="25">
        <f t="shared" si="3"/>
        <v>-2741.98</v>
      </c>
      <c r="P9" s="25"/>
      <c r="Q9" s="25"/>
      <c r="R9" s="13"/>
      <c r="S9" s="63">
        <f>196.2+10553.55</f>
        <v>10749.75</v>
      </c>
      <c r="T9" s="63">
        <f>SUM('[1]2025 Budget Abbrvte'!AC5:AE5)</f>
        <v>3998.0315893457955</v>
      </c>
      <c r="U9" s="63">
        <f>SUM('[1]2025 Budget Abbrvte'!AF5:AH5)</f>
        <v>4502.2071715761504</v>
      </c>
      <c r="V9" s="78">
        <f t="shared" ref="V9:V71" si="6">T9+U9</f>
        <v>8500.2387609219459</v>
      </c>
      <c r="W9" s="79">
        <f t="shared" ref="W9:W10" si="7">S9-V9</f>
        <v>2249.5112390780541</v>
      </c>
      <c r="X9" s="80">
        <f t="shared" ref="X9:X10" si="8">W9/V9</f>
        <v>0.26464094743076011</v>
      </c>
      <c r="Y9" s="90" t="s">
        <v>59</v>
      </c>
      <c r="Z9" s="4"/>
      <c r="AA9" s="4"/>
      <c r="AC9" s="4" t="s">
        <v>59</v>
      </c>
      <c r="AD9" s="15">
        <f>196.2+10553.55</f>
        <v>10749.75</v>
      </c>
      <c r="AE9" s="14"/>
      <c r="AF9" s="15">
        <f t="shared" si="4"/>
        <v>10749.75</v>
      </c>
      <c r="AG9" s="16" t="str">
        <f t="shared" si="5"/>
        <v/>
      </c>
    </row>
    <row r="10" spans="1:33" ht="15.95" customHeight="1" x14ac:dyDescent="0.25">
      <c r="A10" s="9"/>
      <c r="C10" s="4"/>
      <c r="E10" s="93" t="s">
        <v>10</v>
      </c>
      <c r="F10" s="63">
        <v>84999.999999999985</v>
      </c>
      <c r="G10" s="32">
        <f t="shared" si="0"/>
        <v>1000</v>
      </c>
      <c r="H10" s="63">
        <f>142617.55-56617.55</f>
        <v>85999.999999999985</v>
      </c>
      <c r="J10" s="98">
        <f t="shared" si="1"/>
        <v>78999.999999999985</v>
      </c>
      <c r="K10" s="99">
        <f t="shared" si="2"/>
        <v>11.285714285714283</v>
      </c>
      <c r="M10" s="4" t="s">
        <v>10</v>
      </c>
      <c r="N10" s="63">
        <v>7000</v>
      </c>
      <c r="O10" s="25">
        <f t="shared" si="3"/>
        <v>0</v>
      </c>
      <c r="P10" s="63">
        <f>7000</f>
        <v>7000</v>
      </c>
      <c r="Q10" s="63"/>
      <c r="R10" s="64"/>
      <c r="S10" s="63">
        <f>142617.55-56617.55</f>
        <v>85999.999999999985</v>
      </c>
      <c r="T10" s="63">
        <f>SUM('[1]2025 Budget Abbrvte'!AC6:AE6)</f>
        <v>29985.236920093463</v>
      </c>
      <c r="U10" s="63">
        <f>SUM('[1]2025 Budget Abbrvte'!AF6:AH6)</f>
        <v>33766.553786821125</v>
      </c>
      <c r="V10" s="78">
        <f t="shared" si="6"/>
        <v>63751.790706914588</v>
      </c>
      <c r="W10" s="79">
        <f t="shared" si="7"/>
        <v>22248.209293085398</v>
      </c>
      <c r="X10" s="80">
        <f t="shared" si="8"/>
        <v>0.34898171559394853</v>
      </c>
      <c r="Y10" s="90" t="s">
        <v>10</v>
      </c>
      <c r="Z10" s="4"/>
      <c r="AA10" s="4"/>
      <c r="AC10" s="4" t="s">
        <v>10</v>
      </c>
      <c r="AD10" s="15">
        <f>142617.55-56617.55</f>
        <v>85999.999999999985</v>
      </c>
      <c r="AE10" s="15">
        <f>7000</f>
        <v>7000</v>
      </c>
      <c r="AF10" s="15">
        <f t="shared" si="4"/>
        <v>78999.999999999985</v>
      </c>
      <c r="AG10" s="16">
        <f t="shared" si="5"/>
        <v>11.285714285714283</v>
      </c>
    </row>
    <row r="11" spans="1:33" ht="15.95" customHeight="1" x14ac:dyDescent="0.25">
      <c r="A11" s="9"/>
      <c r="C11" s="4"/>
      <c r="E11" s="93" t="s">
        <v>6</v>
      </c>
      <c r="F11" s="25"/>
      <c r="G11" s="32">
        <f t="shared" si="0"/>
        <v>0</v>
      </c>
      <c r="H11" s="25"/>
      <c r="J11" s="98">
        <f t="shared" si="1"/>
        <v>-178.46</v>
      </c>
      <c r="K11" s="99">
        <f t="shared" si="2"/>
        <v>-1</v>
      </c>
      <c r="M11" s="4" t="s">
        <v>6</v>
      </c>
      <c r="N11" s="63">
        <v>146.26</v>
      </c>
      <c r="O11" s="25">
        <f t="shared" si="3"/>
        <v>32.200000000000017</v>
      </c>
      <c r="P11" s="63">
        <f>178.46</f>
        <v>178.46</v>
      </c>
      <c r="Q11" s="63"/>
      <c r="R11" s="64"/>
      <c r="S11" s="25"/>
      <c r="T11" s="63"/>
      <c r="U11" s="63"/>
      <c r="V11" s="78"/>
      <c r="W11" s="81"/>
      <c r="X11" s="81"/>
      <c r="Y11" s="90" t="s">
        <v>6</v>
      </c>
      <c r="Z11" s="4"/>
      <c r="AA11" s="4"/>
      <c r="AC11" s="4" t="s">
        <v>6</v>
      </c>
      <c r="AD11" s="14"/>
      <c r="AE11" s="15">
        <f>178.46</f>
        <v>178.46</v>
      </c>
      <c r="AF11" s="15">
        <f t="shared" si="4"/>
        <v>-178.46</v>
      </c>
      <c r="AG11" s="16">
        <f t="shared" si="5"/>
        <v>-1</v>
      </c>
    </row>
    <row r="12" spans="1:33" ht="15.95" customHeight="1" x14ac:dyDescent="0.25">
      <c r="A12" s="9"/>
      <c r="C12" s="4"/>
      <c r="E12" s="93" t="s">
        <v>7</v>
      </c>
      <c r="F12" s="63">
        <v>8435.36</v>
      </c>
      <c r="G12" s="32">
        <f t="shared" si="0"/>
        <v>8077.27</v>
      </c>
      <c r="H12" s="63">
        <f>16512.63</f>
        <v>16512.63</v>
      </c>
      <c r="J12" s="98">
        <f t="shared" si="1"/>
        <v>97.06000000000131</v>
      </c>
      <c r="K12" s="99">
        <f t="shared" si="2"/>
        <v>5.9126792429383393E-3</v>
      </c>
      <c r="M12" s="4" t="s">
        <v>7</v>
      </c>
      <c r="N12" s="63">
        <v>7716.99</v>
      </c>
      <c r="O12" s="25">
        <f t="shared" si="3"/>
        <v>8698.58</v>
      </c>
      <c r="P12" s="63">
        <f>16415.57</f>
        <v>16415.57</v>
      </c>
      <c r="Q12" s="63"/>
      <c r="R12" s="64"/>
      <c r="S12" s="63">
        <f>16512.63</f>
        <v>16512.63</v>
      </c>
      <c r="T12" s="63">
        <f>SUM('[1]2025 Budget Abbrvte'!AC8:AE8)</f>
        <v>7888.7690735434189</v>
      </c>
      <c r="U12" s="63">
        <f>SUM('[1]2025 Budget Abbrvte'!AF8:AH8)</f>
        <v>8892.2091239904803</v>
      </c>
      <c r="V12" s="78">
        <f t="shared" si="6"/>
        <v>16780.978197533899</v>
      </c>
      <c r="W12" s="79">
        <f>S12-V12</f>
        <v>-268.3481975338982</v>
      </c>
      <c r="X12" s="80">
        <f>W12/V12</f>
        <v>-1.5991213049387915E-2</v>
      </c>
      <c r="Y12" s="90" t="s">
        <v>7</v>
      </c>
      <c r="Z12" s="4"/>
      <c r="AA12" s="4"/>
      <c r="AC12" s="4" t="s">
        <v>7</v>
      </c>
      <c r="AD12" s="15">
        <f>16512.63</f>
        <v>16512.63</v>
      </c>
      <c r="AE12" s="15">
        <f>16415.57</f>
        <v>16415.57</v>
      </c>
      <c r="AF12" s="15">
        <f t="shared" si="4"/>
        <v>97.06000000000131</v>
      </c>
      <c r="AG12" s="16">
        <f t="shared" si="5"/>
        <v>5.9126792429383393E-3</v>
      </c>
    </row>
    <row r="13" spans="1:33" ht="15.95" customHeight="1" x14ac:dyDescent="0.25">
      <c r="A13" s="9"/>
      <c r="C13" s="4"/>
      <c r="E13" s="93" t="s">
        <v>8</v>
      </c>
      <c r="F13" s="63">
        <v>16112.73</v>
      </c>
      <c r="G13" s="32">
        <f t="shared" si="0"/>
        <v>26689.250000000004</v>
      </c>
      <c r="H13" s="63">
        <f>42801.98</f>
        <v>42801.98</v>
      </c>
      <c r="J13" s="98">
        <f t="shared" si="1"/>
        <v>28164.870000000003</v>
      </c>
      <c r="K13" s="99">
        <f t="shared" si="2"/>
        <v>1.9242097654523334</v>
      </c>
      <c r="M13" s="4" t="s">
        <v>8</v>
      </c>
      <c r="N13" s="63">
        <v>6010.64</v>
      </c>
      <c r="O13" s="25">
        <f t="shared" si="3"/>
        <v>8626.4700000000012</v>
      </c>
      <c r="P13" s="63">
        <f>14637.11</f>
        <v>14637.11</v>
      </c>
      <c r="Q13" s="63"/>
      <c r="R13" s="64"/>
      <c r="S13" s="63">
        <f>42801.98</f>
        <v>42801.98</v>
      </c>
      <c r="T13" s="63">
        <f>SUM('[1]2025 Budget Abbrvte'!AC9:AE9)</f>
        <v>10167.366152903611</v>
      </c>
      <c r="U13" s="63">
        <f>SUM('[1]2025 Budget Abbrvte'!AF9:AH9)</f>
        <v>14592.203009502882</v>
      </c>
      <c r="V13" s="78">
        <f t="shared" si="6"/>
        <v>24759.569162406493</v>
      </c>
      <c r="W13" s="79">
        <f>S13-V13</f>
        <v>18042.41083759351</v>
      </c>
      <c r="X13" s="80">
        <f>W13/V13</f>
        <v>0.7287045553679532</v>
      </c>
      <c r="Y13" s="90" t="s">
        <v>8</v>
      </c>
      <c r="Z13" s="4"/>
      <c r="AA13" s="4"/>
      <c r="AC13" s="4" t="s">
        <v>8</v>
      </c>
      <c r="AD13" s="15">
        <f>42801.98</f>
        <v>42801.98</v>
      </c>
      <c r="AE13" s="15">
        <f>14637.11</f>
        <v>14637.11</v>
      </c>
      <c r="AF13" s="15">
        <f t="shared" si="4"/>
        <v>28164.870000000003</v>
      </c>
      <c r="AG13" s="16">
        <f t="shared" si="5"/>
        <v>1.9242097654523334</v>
      </c>
    </row>
    <row r="14" spans="1:33" ht="15.95" customHeight="1" x14ac:dyDescent="0.25">
      <c r="A14" s="9"/>
      <c r="C14" s="4"/>
      <c r="E14" s="93"/>
      <c r="F14" s="63"/>
      <c r="G14" s="33"/>
      <c r="H14" s="63"/>
      <c r="J14" s="98"/>
      <c r="K14" s="99"/>
      <c r="M14" s="4"/>
      <c r="N14" s="63"/>
      <c r="O14" s="23"/>
      <c r="P14" s="63"/>
      <c r="Q14" s="63"/>
      <c r="R14" s="64"/>
      <c r="S14" s="28"/>
      <c r="T14" s="82"/>
      <c r="U14" s="82"/>
      <c r="V14" s="83"/>
      <c r="W14" s="84"/>
      <c r="X14" s="84"/>
      <c r="Y14" s="91"/>
    </row>
    <row r="15" spans="1:33" ht="15.95" customHeight="1" x14ac:dyDescent="0.25">
      <c r="A15" s="9"/>
      <c r="C15" s="4"/>
      <c r="E15" s="93" t="s">
        <v>9</v>
      </c>
      <c r="F15" s="24">
        <v>24548.09</v>
      </c>
      <c r="G15" s="32">
        <f t="shared" ref="G15:G22" si="9">H15-F15</f>
        <v>34766.520000000004</v>
      </c>
      <c r="H15" s="24">
        <f>((H11)+(H12))+(H13)</f>
        <v>59314.61</v>
      </c>
      <c r="J15" s="29">
        <f>(H15)-(P15)</f>
        <v>28083.47</v>
      </c>
      <c r="K15" s="100">
        <f>IF(ABS((P15))=0,"",((H15)-(P15))/(ABS((P15))))</f>
        <v>0.89921373347242528</v>
      </c>
      <c r="M15" s="4" t="s">
        <v>9</v>
      </c>
      <c r="N15" s="24">
        <f>((N11)+(N12))+(N13)</f>
        <v>13873.89</v>
      </c>
      <c r="O15" s="24">
        <f>((O11)+(O12))+(O13)</f>
        <v>17357.25</v>
      </c>
      <c r="P15" s="24">
        <f>((P11)+(P12))+(P13)</f>
        <v>31231.14</v>
      </c>
      <c r="Q15" s="26"/>
      <c r="R15" s="11"/>
      <c r="S15" s="26">
        <f>((S11)+(S12))+(S13)</f>
        <v>59314.61</v>
      </c>
      <c r="T15" s="63">
        <f>SUM('[1]2025 Budget Abbrvte'!AC11:AE11)</f>
        <v>18655.873308903079</v>
      </c>
      <c r="U15" s="63">
        <f>SUM('[1]2025 Budget Abbrvte'!AF11:AH11)</f>
        <v>23339.86048548446</v>
      </c>
      <c r="V15" s="78">
        <f t="shared" si="6"/>
        <v>41995.733794387539</v>
      </c>
      <c r="W15" s="79">
        <f t="shared" ref="W15:W18" si="10">S15-V15</f>
        <v>17318.876205612461</v>
      </c>
      <c r="X15" s="80">
        <f t="shared" ref="X15:X18" si="11">W15/V15</f>
        <v>0.41239608505012043</v>
      </c>
      <c r="Y15" s="90" t="s">
        <v>9</v>
      </c>
      <c r="Z15" s="4"/>
      <c r="AA15" s="4"/>
      <c r="AC15" s="4" t="s">
        <v>9</v>
      </c>
      <c r="AD15" s="17">
        <f>((AD11)+(AD12))+(AD13)</f>
        <v>59314.61</v>
      </c>
      <c r="AE15" s="17">
        <f>((AE11)+(AE12))+(AE13)</f>
        <v>31231.14</v>
      </c>
      <c r="AF15" s="17">
        <f>(AD15)-(AE15)</f>
        <v>28083.47</v>
      </c>
      <c r="AG15" s="18">
        <f>IF(ABS((AE15))=0,"",((AD15)-(AE15))/(ABS((AE15))))</f>
        <v>0.89921373347242528</v>
      </c>
    </row>
    <row r="16" spans="1:33" ht="15.95" customHeight="1" x14ac:dyDescent="0.25">
      <c r="A16" s="9"/>
      <c r="C16" s="4"/>
      <c r="E16" s="93" t="s">
        <v>15</v>
      </c>
      <c r="F16" s="63">
        <v>36331.54</v>
      </c>
      <c r="G16" s="32">
        <f t="shared" si="9"/>
        <v>37918.1</v>
      </c>
      <c r="H16" s="63">
        <f>74249.64</f>
        <v>74249.64</v>
      </c>
      <c r="J16" s="98">
        <f>(H16)-(P16)</f>
        <v>16323.080000000002</v>
      </c>
      <c r="K16" s="99">
        <f>IF(ABS((P16))=0,"",((H16)-(P16))/(ABS((P16))))</f>
        <v>0.28178921724335093</v>
      </c>
      <c r="M16" s="4" t="s">
        <v>15</v>
      </c>
      <c r="N16" s="63">
        <v>32372.01</v>
      </c>
      <c r="O16" s="25">
        <f>P16-N16</f>
        <v>25554.55</v>
      </c>
      <c r="P16" s="63">
        <f>57926.56</f>
        <v>57926.559999999998</v>
      </c>
      <c r="Q16" s="63"/>
      <c r="R16" s="64"/>
      <c r="S16" s="63">
        <f>74249.64</f>
        <v>74249.64</v>
      </c>
      <c r="T16" s="63">
        <f>SUM('[1]2025 Budget Abbrvte'!AC12:AE12)</f>
        <v>37536.043727877295</v>
      </c>
      <c r="U16" s="63">
        <f>SUM('[1]2025 Budget Abbrvte'!AF12:AH12)</f>
        <v>29631.051832933037</v>
      </c>
      <c r="V16" s="78">
        <f t="shared" si="6"/>
        <v>67167.095560810325</v>
      </c>
      <c r="W16" s="79">
        <f t="shared" si="10"/>
        <v>7082.5444391896744</v>
      </c>
      <c r="X16" s="80">
        <f t="shared" si="11"/>
        <v>0.10544663841802464</v>
      </c>
      <c r="Y16" s="90" t="s">
        <v>15</v>
      </c>
      <c r="Z16" s="4"/>
      <c r="AA16" s="4"/>
      <c r="AC16" s="4" t="s">
        <v>15</v>
      </c>
      <c r="AD16" s="15">
        <f>74249.64</f>
        <v>74249.64</v>
      </c>
      <c r="AE16" s="15">
        <f>57926.56</f>
        <v>57926.559999999998</v>
      </c>
      <c r="AF16" s="15">
        <f>(AD16)-(AE16)</f>
        <v>16323.080000000002</v>
      </c>
      <c r="AG16" s="16">
        <f>IF(ABS((AE16))=0,"",((AD16)-(AE16))/(ABS((AE16))))</f>
        <v>0.28178921724335093</v>
      </c>
    </row>
    <row r="17" spans="1:33" ht="15.95" customHeight="1" x14ac:dyDescent="0.25">
      <c r="A17" s="9"/>
      <c r="C17" s="4"/>
      <c r="E17" s="93" t="s">
        <v>16</v>
      </c>
      <c r="F17" s="25">
        <v>3937</v>
      </c>
      <c r="G17" s="32">
        <f t="shared" si="9"/>
        <v>408</v>
      </c>
      <c r="H17" s="25">
        <v>4345</v>
      </c>
      <c r="J17" s="98">
        <v>-15159.61</v>
      </c>
      <c r="K17" s="99">
        <v>-0.77723215178360394</v>
      </c>
      <c r="M17" s="4" t="s">
        <v>16</v>
      </c>
      <c r="N17" s="25">
        <v>18728.61</v>
      </c>
      <c r="O17" s="25">
        <f>P17-N17</f>
        <v>776</v>
      </c>
      <c r="P17" s="25">
        <v>19504.61</v>
      </c>
      <c r="Q17" s="25"/>
      <c r="R17" s="13"/>
      <c r="S17" s="25">
        <v>4345</v>
      </c>
      <c r="T17" s="63">
        <f>SUM('[1]2025 Budget Abbrvte'!AC13:AE13)</f>
        <v>18686.627667782595</v>
      </c>
      <c r="U17" s="63">
        <f>SUM('[1]2025 Budget Abbrvte'!AF13:AH13)</f>
        <v>5430.2164984256469</v>
      </c>
      <c r="V17" s="78">
        <f t="shared" si="6"/>
        <v>24116.84416620824</v>
      </c>
      <c r="W17" s="79">
        <f t="shared" si="10"/>
        <v>-19771.84416620824</v>
      </c>
      <c r="X17" s="80">
        <f t="shared" si="11"/>
        <v>-0.81983546561667975</v>
      </c>
      <c r="Y17" s="90" t="s">
        <v>16</v>
      </c>
      <c r="Z17" s="4"/>
      <c r="AA17" s="4"/>
      <c r="AC17" s="4" t="s">
        <v>16</v>
      </c>
      <c r="AD17" s="14">
        <v>4345</v>
      </c>
      <c r="AE17" s="14">
        <v>19504.61</v>
      </c>
      <c r="AF17" s="15">
        <v>-15159.61</v>
      </c>
      <c r="AG17" s="16">
        <v>-0.77723215178360394</v>
      </c>
    </row>
    <row r="18" spans="1:33" ht="15.95" customHeight="1" x14ac:dyDescent="0.25">
      <c r="A18" s="9"/>
      <c r="C18" s="4"/>
      <c r="E18" s="93" t="s">
        <v>5</v>
      </c>
      <c r="F18" s="25">
        <v>35370.43</v>
      </c>
      <c r="G18" s="32">
        <f t="shared" si="9"/>
        <v>12564.700000000004</v>
      </c>
      <c r="H18" s="25">
        <v>47935.130000000005</v>
      </c>
      <c r="J18" s="98">
        <v>-11252.289999999994</v>
      </c>
      <c r="K18" s="99">
        <v>-0.19011286520007112</v>
      </c>
      <c r="M18" s="4" t="s">
        <v>5</v>
      </c>
      <c r="N18" s="25">
        <v>32995.57</v>
      </c>
      <c r="O18" s="25">
        <f>P18-N18</f>
        <v>26191.85</v>
      </c>
      <c r="P18" s="25">
        <v>59187.42</v>
      </c>
      <c r="Q18" s="25"/>
      <c r="R18" s="13"/>
      <c r="S18" s="25">
        <v>47935.130000000005</v>
      </c>
      <c r="T18" s="63">
        <f>SUM('[1]2025 Budget Abbrvte'!AC14:AE14)</f>
        <v>30180.891527968874</v>
      </c>
      <c r="U18" s="63">
        <f>SUM('[1]2025 Budget Abbrvte'!AF14:AH14)</f>
        <v>20144.22728779904</v>
      </c>
      <c r="V18" s="78">
        <f t="shared" si="6"/>
        <v>50325.118815767913</v>
      </c>
      <c r="W18" s="79">
        <f t="shared" si="10"/>
        <v>-2389.9888157679088</v>
      </c>
      <c r="X18" s="80">
        <f t="shared" si="11"/>
        <v>-4.7490972142902828E-2</v>
      </c>
      <c r="Y18" s="90" t="s">
        <v>5</v>
      </c>
      <c r="Z18" s="4"/>
      <c r="AA18" s="4"/>
      <c r="AC18" s="4" t="s">
        <v>5</v>
      </c>
      <c r="AD18" s="14">
        <v>47935.130000000005</v>
      </c>
      <c r="AE18" s="14">
        <v>59187.42</v>
      </c>
      <c r="AF18" s="15">
        <v>-11252.289999999994</v>
      </c>
      <c r="AG18" s="16">
        <v>-0.19011286520007112</v>
      </c>
    </row>
    <row r="19" spans="1:33" ht="15.95" customHeight="1" x14ac:dyDescent="0.25">
      <c r="A19" s="9"/>
      <c r="C19" s="4"/>
      <c r="E19" s="93" t="s">
        <v>12</v>
      </c>
      <c r="F19" s="25"/>
      <c r="G19" s="32">
        <f t="shared" si="9"/>
        <v>4856.99</v>
      </c>
      <c r="H19" s="63">
        <f>4856.99</f>
        <v>4856.99</v>
      </c>
      <c r="J19" s="98">
        <f>(H19)-(P19)</f>
        <v>4856.99</v>
      </c>
      <c r="K19" s="99" t="str">
        <f>IF(ABS((P19))=0,"",((H19)-(P19))/(ABS((P19))))</f>
        <v/>
      </c>
      <c r="M19" s="4" t="s">
        <v>12</v>
      </c>
      <c r="N19" s="25"/>
      <c r="O19" s="25">
        <f>P19-N19</f>
        <v>0</v>
      </c>
      <c r="P19" s="25"/>
      <c r="Q19" s="25"/>
      <c r="R19" s="13"/>
      <c r="S19" s="63">
        <f>4856.99</f>
        <v>4856.99</v>
      </c>
      <c r="T19" s="63"/>
      <c r="U19" s="78"/>
      <c r="V19" s="78"/>
      <c r="W19" s="81"/>
      <c r="X19" s="81"/>
      <c r="Y19" s="90" t="s">
        <v>12</v>
      </c>
      <c r="Z19" s="4"/>
      <c r="AA19" s="4"/>
      <c r="AC19" s="4" t="s">
        <v>12</v>
      </c>
      <c r="AD19" s="15">
        <f>4856.99</f>
        <v>4856.99</v>
      </c>
      <c r="AE19" s="14"/>
      <c r="AF19" s="15">
        <f>(AD19)-(AE19)</f>
        <v>4856.99</v>
      </c>
      <c r="AG19" s="16" t="str">
        <f>IF(ABS((AE19))=0,"",((AD19)-(AE19))/(ABS((AE19))))</f>
        <v/>
      </c>
    </row>
    <row r="20" spans="1:33" ht="15.95" customHeight="1" x14ac:dyDescent="0.25">
      <c r="A20" s="9"/>
      <c r="C20" s="4"/>
      <c r="E20" s="93" t="s">
        <v>13</v>
      </c>
      <c r="F20" s="63">
        <v>18</v>
      </c>
      <c r="G20" s="33">
        <f t="shared" si="9"/>
        <v>6</v>
      </c>
      <c r="H20" s="63">
        <f>24</f>
        <v>24</v>
      </c>
      <c r="J20" s="98">
        <f>(H20)-(P20)</f>
        <v>0</v>
      </c>
      <c r="K20" s="99">
        <f>IF(ABS((P20))=0,"",((H20)-(P20))/(ABS((P20))))</f>
        <v>0</v>
      </c>
      <c r="M20" s="4" t="s">
        <v>13</v>
      </c>
      <c r="N20" s="63">
        <v>18</v>
      </c>
      <c r="O20" s="25">
        <f>P20-N20</f>
        <v>6</v>
      </c>
      <c r="P20" s="63">
        <f>24</f>
        <v>24</v>
      </c>
      <c r="Q20" s="63"/>
      <c r="R20" s="64"/>
      <c r="S20" s="82">
        <f>24</f>
        <v>24</v>
      </c>
      <c r="T20" s="82"/>
      <c r="U20" s="82"/>
      <c r="V20" s="83"/>
      <c r="W20" s="84"/>
      <c r="X20" s="84"/>
      <c r="Y20" s="90" t="s">
        <v>13</v>
      </c>
      <c r="Z20" s="4"/>
      <c r="AA20" s="4"/>
      <c r="AC20" s="4" t="s">
        <v>13</v>
      </c>
      <c r="AD20" s="15">
        <f>24</f>
        <v>24</v>
      </c>
      <c r="AE20" s="15">
        <f>24</f>
        <v>24</v>
      </c>
      <c r="AF20" s="15">
        <f>(AD20)-(AE20)</f>
        <v>0</v>
      </c>
      <c r="AG20" s="16">
        <f>IF(ABS((AE20))=0,"",((AD20)-(AE20))/(ABS((AE20))))</f>
        <v>0</v>
      </c>
    </row>
    <row r="21" spans="1:33" ht="15.95" customHeight="1" x14ac:dyDescent="0.25">
      <c r="A21" s="9"/>
      <c r="C21" s="4"/>
      <c r="E21" s="93" t="s">
        <v>14</v>
      </c>
      <c r="F21" s="24">
        <v>18</v>
      </c>
      <c r="G21" s="34">
        <f t="shared" si="9"/>
        <v>4862.99</v>
      </c>
      <c r="H21" s="24">
        <f>(H19)+(H20)</f>
        <v>4880.99</v>
      </c>
      <c r="J21" s="29">
        <f>(H21)-(P21)</f>
        <v>4856.99</v>
      </c>
      <c r="K21" s="100">
        <f>IF(ABS((P21))=0,"",((H21)-(P21))/(ABS((P21))))</f>
        <v>202.37458333333333</v>
      </c>
      <c r="M21" s="4" t="s">
        <v>14</v>
      </c>
      <c r="N21" s="24">
        <f>(N19)+(N20)</f>
        <v>18</v>
      </c>
      <c r="O21" s="24">
        <f>(O19)+(O20)</f>
        <v>6</v>
      </c>
      <c r="P21" s="24">
        <f>(P19)+(P20)</f>
        <v>24</v>
      </c>
      <c r="Q21" s="26"/>
      <c r="R21" s="11"/>
      <c r="S21" s="85">
        <f>(S19)+(S20)</f>
        <v>4880.99</v>
      </c>
      <c r="T21" s="82"/>
      <c r="U21" s="82">
        <f>SUM('[1]2025 Budget Abbrvte'!AF17:AH17)</f>
        <v>0</v>
      </c>
      <c r="V21" s="83">
        <f t="shared" si="6"/>
        <v>0</v>
      </c>
      <c r="W21" s="96">
        <f>S21-V21</f>
        <v>4880.99</v>
      </c>
      <c r="X21" s="97"/>
      <c r="Y21" s="90" t="s">
        <v>14</v>
      </c>
      <c r="Z21" s="4"/>
      <c r="AA21" s="4"/>
      <c r="AC21" s="4" t="s">
        <v>14</v>
      </c>
      <c r="AD21" s="17">
        <f>(AD19)+(AD20)</f>
        <v>4880.99</v>
      </c>
      <c r="AE21" s="17">
        <f>(AE19)+(AE20)</f>
        <v>24</v>
      </c>
      <c r="AF21" s="17">
        <f>(AD21)-(AE21)</f>
        <v>4856.99</v>
      </c>
      <c r="AG21" s="18">
        <f>IF(ABS((AE21))=0,"",((AD21)-(AE21))/(ABS((AE21))))</f>
        <v>202.37458333333333</v>
      </c>
    </row>
    <row r="22" spans="1:33" ht="15.95" customHeight="1" x14ac:dyDescent="0.25">
      <c r="C22" s="4"/>
      <c r="E22" s="93" t="s">
        <v>17</v>
      </c>
      <c r="F22" s="24">
        <v>201722.09999999998</v>
      </c>
      <c r="G22" s="32">
        <f t="shared" si="9"/>
        <v>108053.07</v>
      </c>
      <c r="H22" s="24">
        <f>H17+H16+H21+H9+H8+H10+H15+H18</f>
        <v>309775.17</v>
      </c>
      <c r="J22" s="29">
        <f>(H22)-(P22)</f>
        <v>115278.44</v>
      </c>
      <c r="K22" s="100">
        <f>IF(ABS((P22))=0,"",((H22)-(P22))/(ABS((P22))))</f>
        <v>0.59270117291946256</v>
      </c>
      <c r="M22" s="4" t="s">
        <v>17</v>
      </c>
      <c r="N22" s="24">
        <f>N17+N16+N21+N9+N8+N10+N15+N18</f>
        <v>116681.06</v>
      </c>
      <c r="O22" s="24">
        <f>O17+O16+O21+O9+O8+O10+O15+O18</f>
        <v>77815.67</v>
      </c>
      <c r="P22" s="24">
        <f>P17+P16+P21+P9+P8+P10+P15+P18</f>
        <v>194496.72999999998</v>
      </c>
      <c r="Q22" s="26"/>
      <c r="R22" s="11"/>
      <c r="S22" s="26">
        <f>S17+S16+S21+S9+S8+S10+S15+S18</f>
        <v>309775.17</v>
      </c>
      <c r="T22" s="63">
        <f>SUM('[1]2025 Budget Abbrvte'!AC15:AE15)</f>
        <v>148981.63434445832</v>
      </c>
      <c r="U22" s="63">
        <f>SUM('[1]2025 Budget Abbrvte'!AF15:AH15)</f>
        <v>128663.99492224443</v>
      </c>
      <c r="V22" s="78">
        <f t="shared" si="6"/>
        <v>277645.62926670274</v>
      </c>
      <c r="W22" s="79">
        <f>S22-V22</f>
        <v>32129.540733297239</v>
      </c>
      <c r="X22" s="80">
        <f>W22/V22</f>
        <v>0.11572139931809992</v>
      </c>
      <c r="Y22" s="90" t="s">
        <v>17</v>
      </c>
      <c r="Z22" s="4"/>
      <c r="AA22" s="4"/>
      <c r="AC22" s="4" t="s">
        <v>17</v>
      </c>
      <c r="AD22" s="17">
        <f>AD17+AD16+AD21+AD9+AD8+AD10+AD15+AD18</f>
        <v>309775.17</v>
      </c>
      <c r="AE22" s="17">
        <f>AE17+AE16+AE21+AE9+AE8+AE10+AE15+AE18</f>
        <v>194496.72999999998</v>
      </c>
      <c r="AF22" s="17">
        <f>(AD22)-(AE22)</f>
        <v>115278.44</v>
      </c>
      <c r="AG22" s="18">
        <f>IF(ABS((AE22))=0,"",((AD22)-(AE22))/(ABS((AE22))))</f>
        <v>0.59270117291946256</v>
      </c>
    </row>
    <row r="23" spans="1:33" ht="15.95" customHeight="1" x14ac:dyDescent="0.25">
      <c r="E23" s="94"/>
      <c r="F23" s="27"/>
      <c r="G23" s="27"/>
      <c r="H23" s="27"/>
      <c r="J23" s="30"/>
      <c r="K23" s="101"/>
      <c r="N23" s="27"/>
      <c r="O23" s="27"/>
      <c r="P23" s="27"/>
      <c r="Q23" s="27"/>
      <c r="S23" s="27"/>
      <c r="T23" s="63"/>
      <c r="U23" s="63"/>
      <c r="V23" s="78"/>
      <c r="W23" s="81"/>
      <c r="X23" s="81"/>
      <c r="Y23" s="90" t="s">
        <v>60</v>
      </c>
      <c r="Z23" s="4"/>
      <c r="AA23" s="4"/>
      <c r="AC23" s="4" t="s">
        <v>60</v>
      </c>
    </row>
    <row r="24" spans="1:33" ht="15.95" customHeight="1" x14ac:dyDescent="0.25">
      <c r="C24" s="4"/>
      <c r="E24" s="93" t="s">
        <v>19</v>
      </c>
      <c r="F24" s="63">
        <v>51.4</v>
      </c>
      <c r="G24" s="32">
        <f t="shared" ref="G24:G31" si="12">H24-F24</f>
        <v>77.079999999999984</v>
      </c>
      <c r="H24" s="63">
        <f>128.48</f>
        <v>128.47999999999999</v>
      </c>
      <c r="J24" s="98">
        <f>(H24)-(P24)</f>
        <v>-313.58000000000004</v>
      </c>
      <c r="K24" s="99">
        <f>IF(ABS((P24))=0,"",((H24)-(P24))/(ABS((P24))))</f>
        <v>-0.70936072026421759</v>
      </c>
      <c r="M24" s="4" t="s">
        <v>19</v>
      </c>
      <c r="N24" s="63">
        <v>184</v>
      </c>
      <c r="O24" s="25">
        <f t="shared" ref="O24:O28" si="13">P24-N24</f>
        <v>258.06</v>
      </c>
      <c r="P24" s="63">
        <f>442.06</f>
        <v>442.06</v>
      </c>
      <c r="Q24" s="63"/>
      <c r="R24" s="64"/>
      <c r="S24" s="63">
        <f>128.48</f>
        <v>128.47999999999999</v>
      </c>
      <c r="T24" s="63">
        <f>SUM('[1]2025 Budget Abbrvte'!AC18:AE18)</f>
        <v>231.10932475884246</v>
      </c>
      <c r="U24" s="63">
        <f>SUM('[1]2025 Budget Abbrvte'!AF18:AH18)</f>
        <v>324.13082797427654</v>
      </c>
      <c r="V24" s="78">
        <f t="shared" si="6"/>
        <v>555.24015273311898</v>
      </c>
      <c r="W24" s="79">
        <f t="shared" ref="W24:W31" si="14">S24-V24</f>
        <v>-426.76015273311896</v>
      </c>
      <c r="X24" s="80">
        <f t="shared" ref="X24:X31" si="15">W24/V24</f>
        <v>-0.76860463104555943</v>
      </c>
      <c r="Y24" s="90" t="s">
        <v>19</v>
      </c>
      <c r="Z24" s="4"/>
      <c r="AA24" s="4"/>
      <c r="AC24" s="4" t="s">
        <v>19</v>
      </c>
      <c r="AD24" s="15">
        <f>128.48</f>
        <v>128.47999999999999</v>
      </c>
      <c r="AE24" s="15">
        <f>442.06</f>
        <v>442.06</v>
      </c>
      <c r="AF24" s="15">
        <f>(AD24)-(AE24)</f>
        <v>-313.58000000000004</v>
      </c>
      <c r="AG24" s="16">
        <f>IF(ABS((AE24))=0,"",((AD24)-(AE24))/(ABS((AE24))))</f>
        <v>-0.70936072026421759</v>
      </c>
    </row>
    <row r="25" spans="1:33" ht="15.95" customHeight="1" x14ac:dyDescent="0.25">
      <c r="C25" s="4"/>
      <c r="E25" s="93" t="s">
        <v>21</v>
      </c>
      <c r="F25" s="63">
        <v>7514.53</v>
      </c>
      <c r="G25" s="32">
        <f t="shared" si="12"/>
        <v>4239.9100000000008</v>
      </c>
      <c r="H25" s="63">
        <f>11754.44</f>
        <v>11754.44</v>
      </c>
      <c r="J25" s="98">
        <f>(H25)-(P25)</f>
        <v>6506.1900000000005</v>
      </c>
      <c r="K25" s="99">
        <f>IF(ABS((P25))=0,"",((H25)-(P25))/(ABS((P25))))</f>
        <v>1.2396875148859146</v>
      </c>
      <c r="M25" s="4" t="s">
        <v>21</v>
      </c>
      <c r="N25" s="63">
        <v>2257</v>
      </c>
      <c r="O25" s="25">
        <f t="shared" si="13"/>
        <v>2991.25</v>
      </c>
      <c r="P25" s="63">
        <f>5248.25</f>
        <v>5248.25</v>
      </c>
      <c r="Q25" s="63"/>
      <c r="R25" s="64"/>
      <c r="S25" s="63">
        <f>11754.44</f>
        <v>11754.44</v>
      </c>
      <c r="T25" s="63">
        <f>SUM('[1]2025 Budget Abbrvte'!AC19:AE19)</f>
        <v>2545.7873254306523</v>
      </c>
      <c r="U25" s="63">
        <f>SUM('[1]2025 Budget Abbrvte'!AF19:AH19)</f>
        <v>3373.9859712868583</v>
      </c>
      <c r="V25" s="78">
        <f t="shared" si="6"/>
        <v>5919.7732967175107</v>
      </c>
      <c r="W25" s="79">
        <f t="shared" si="14"/>
        <v>5834.6667032824898</v>
      </c>
      <c r="X25" s="80">
        <f t="shared" si="15"/>
        <v>0.98562333569729565</v>
      </c>
      <c r="Y25" s="90" t="s">
        <v>21</v>
      </c>
      <c r="Z25" s="4"/>
      <c r="AA25" s="4"/>
      <c r="AC25" s="4" t="s">
        <v>21</v>
      </c>
      <c r="AD25" s="15">
        <f>11754.44</f>
        <v>11754.44</v>
      </c>
      <c r="AE25" s="15">
        <f>5248.25</f>
        <v>5248.25</v>
      </c>
      <c r="AF25" s="15">
        <f>(AD25)-(AE25)</f>
        <v>6506.1900000000005</v>
      </c>
      <c r="AG25" s="16">
        <f>IF(ABS((AE25))=0,"",((AD25)-(AE25))/(ABS((AE25))))</f>
        <v>1.2396875148859146</v>
      </c>
    </row>
    <row r="26" spans="1:33" ht="15.95" customHeight="1" x14ac:dyDescent="0.25">
      <c r="C26" s="4"/>
      <c r="E26" s="93" t="s">
        <v>18</v>
      </c>
      <c r="F26" s="63">
        <v>7874.22</v>
      </c>
      <c r="G26" s="32">
        <f t="shared" si="12"/>
        <v>6188.62</v>
      </c>
      <c r="H26" s="63">
        <f>14062.84</f>
        <v>14062.84</v>
      </c>
      <c r="J26" s="98">
        <f>(H26)-(P26)</f>
        <v>-2154.08</v>
      </c>
      <c r="K26" s="99">
        <f>IF(ABS((P26))=0,"",((H26)-(P26))/(ABS((P26))))</f>
        <v>-0.13282916854741836</v>
      </c>
      <c r="M26" s="4" t="s">
        <v>18</v>
      </c>
      <c r="N26" s="63">
        <v>8975.1299999999992</v>
      </c>
      <c r="O26" s="25">
        <f t="shared" si="13"/>
        <v>7241.7900000000009</v>
      </c>
      <c r="P26" s="63">
        <f>16216.92</f>
        <v>16216.92</v>
      </c>
      <c r="Q26" s="63"/>
      <c r="R26" s="64"/>
      <c r="S26" s="63">
        <f>14062.84</f>
        <v>14062.84</v>
      </c>
      <c r="T26" s="63">
        <f>SUM('[1]2025 Budget Abbrvte'!AC20:AE20)</f>
        <v>12021.554099893317</v>
      </c>
      <c r="U26" s="63">
        <f>SUM('[1]2025 Budget Abbrvte'!AF20:AH20)</f>
        <v>9699.8673295056906</v>
      </c>
      <c r="V26" s="78">
        <f t="shared" si="6"/>
        <v>21721.421429399008</v>
      </c>
      <c r="W26" s="79">
        <f t="shared" si="14"/>
        <v>-7658.5814293990079</v>
      </c>
      <c r="X26" s="80">
        <f t="shared" si="15"/>
        <v>-0.35258196404372727</v>
      </c>
      <c r="Y26" s="90" t="s">
        <v>18</v>
      </c>
      <c r="Z26" s="4"/>
      <c r="AA26" s="4"/>
      <c r="AC26" s="4" t="s">
        <v>18</v>
      </c>
      <c r="AD26" s="15">
        <f>14062.84</f>
        <v>14062.84</v>
      </c>
      <c r="AE26" s="15">
        <f>16216.92</f>
        <v>16216.92</v>
      </c>
      <c r="AF26" s="15">
        <f>(AD26)-(AE26)</f>
        <v>-2154.08</v>
      </c>
      <c r="AG26" s="16">
        <f>IF(ABS((AE26))=0,"",((AD26)-(AE26))/(ABS((AE26))))</f>
        <v>-0.13282916854741836</v>
      </c>
    </row>
    <row r="27" spans="1:33" ht="15.95" customHeight="1" x14ac:dyDescent="0.25">
      <c r="A27" s="9"/>
      <c r="C27" s="4"/>
      <c r="E27" s="93" t="s">
        <v>20</v>
      </c>
      <c r="F27" s="63">
        <v>7335.88</v>
      </c>
      <c r="G27" s="32">
        <f t="shared" si="12"/>
        <v>15085.329999999998</v>
      </c>
      <c r="H27" s="63">
        <f>22421.21</f>
        <v>22421.21</v>
      </c>
      <c r="J27" s="98">
        <f>(H27)-(P27)</f>
        <v>8511.08</v>
      </c>
      <c r="K27" s="99">
        <f>IF(ABS((P27))=0,"",((H27)-(P27))/(ABS((P27))))</f>
        <v>0.61186200272750868</v>
      </c>
      <c r="M27" s="4" t="s">
        <v>20</v>
      </c>
      <c r="N27" s="63">
        <v>7276.71</v>
      </c>
      <c r="O27" s="25">
        <f t="shared" si="13"/>
        <v>6633.4199999999992</v>
      </c>
      <c r="P27" s="63">
        <f>13910.13</f>
        <v>13910.13</v>
      </c>
      <c r="Q27" s="63"/>
      <c r="R27" s="64"/>
      <c r="S27" s="63">
        <f>22421.21</f>
        <v>22421.21</v>
      </c>
      <c r="T27" s="63">
        <f>SUM('[1]2025 Budget Abbrvte'!AC21:AE21)</f>
        <v>12733.72536926417</v>
      </c>
      <c r="U27" s="63">
        <f>SUM('[1]2025 Budget Abbrvte'!AF21:AH21)</f>
        <v>11608.013585670493</v>
      </c>
      <c r="V27" s="78">
        <f t="shared" si="6"/>
        <v>24341.738954934663</v>
      </c>
      <c r="W27" s="79">
        <f t="shared" si="14"/>
        <v>-1920.5289549346635</v>
      </c>
      <c r="X27" s="80">
        <f t="shared" si="15"/>
        <v>-7.8898593008915885E-2</v>
      </c>
      <c r="Y27" s="90" t="s">
        <v>20</v>
      </c>
      <c r="Z27" s="4"/>
      <c r="AA27" s="4"/>
      <c r="AC27" s="4" t="s">
        <v>20</v>
      </c>
      <c r="AD27" s="15">
        <f>22421.21</f>
        <v>22421.21</v>
      </c>
      <c r="AE27" s="15">
        <f>13910.13</f>
        <v>13910.13</v>
      </c>
      <c r="AF27" s="15">
        <f>(AD27)-(AE27)</f>
        <v>8511.08</v>
      </c>
      <c r="AG27" s="16">
        <f>IF(ABS((AE27))=0,"",((AD27)-(AE27))/(ABS((AE27))))</f>
        <v>0.61186200272750868</v>
      </c>
    </row>
    <row r="28" spans="1:33" ht="15.95" customHeight="1" x14ac:dyDescent="0.25">
      <c r="A28" s="9"/>
      <c r="C28" s="4"/>
      <c r="E28" s="93" t="s">
        <v>23</v>
      </c>
      <c r="F28" s="63">
        <v>4554.16</v>
      </c>
      <c r="G28" s="32">
        <f t="shared" si="12"/>
        <v>6455.630000000001</v>
      </c>
      <c r="H28" s="63">
        <f>11009.79</f>
        <v>11009.79</v>
      </c>
      <c r="J28" s="98">
        <f>(H28)-(P28)</f>
        <v>4980.4000000000005</v>
      </c>
      <c r="K28" s="99">
        <f>IF(ABS((P28))=0,"",((H28)-(P28))/(ABS((P28))))</f>
        <v>0.82602054270830061</v>
      </c>
      <c r="M28" s="4" t="s">
        <v>23</v>
      </c>
      <c r="N28" s="63">
        <v>3217.07</v>
      </c>
      <c r="O28" s="25">
        <f t="shared" si="13"/>
        <v>2812.32</v>
      </c>
      <c r="P28" s="63">
        <f>6029.39</f>
        <v>6029.39</v>
      </c>
      <c r="Q28" s="63"/>
      <c r="R28" s="64"/>
      <c r="S28" s="63">
        <f>11009.79</f>
        <v>11009.79</v>
      </c>
      <c r="T28" s="63">
        <f>SUM('[1]2025 Budget Abbrvte'!AC22:AE22)</f>
        <v>5780.6574820241094</v>
      </c>
      <c r="U28" s="63">
        <f>SUM('[1]2025 Budget Abbrvte'!AF22:AH22)</f>
        <v>4735.9930367682791</v>
      </c>
      <c r="V28" s="78">
        <f t="shared" si="6"/>
        <v>10516.650518792389</v>
      </c>
      <c r="W28" s="79">
        <f t="shared" si="14"/>
        <v>493.13948120761233</v>
      </c>
      <c r="X28" s="80">
        <f t="shared" si="15"/>
        <v>4.6891306345724117E-2</v>
      </c>
      <c r="Y28" s="90" t="s">
        <v>23</v>
      </c>
      <c r="Z28" s="4"/>
      <c r="AA28" s="4"/>
      <c r="AC28" s="4" t="s">
        <v>23</v>
      </c>
      <c r="AD28" s="15">
        <f>11009.79</f>
        <v>11009.79</v>
      </c>
      <c r="AE28" s="15">
        <f>6029.39</f>
        <v>6029.39</v>
      </c>
      <c r="AF28" s="15">
        <f>(AD28)-(AE28)</f>
        <v>4980.4000000000005</v>
      </c>
      <c r="AG28" s="16">
        <f>IF(ABS((AE28))=0,"",((AD28)-(AE28))/(ABS((AE28))))</f>
        <v>0.82602054270830061</v>
      </c>
    </row>
    <row r="29" spans="1:33" ht="15.95" customHeight="1" x14ac:dyDescent="0.25">
      <c r="A29" s="9"/>
      <c r="C29" s="4"/>
      <c r="E29" s="93" t="s">
        <v>22</v>
      </c>
      <c r="F29" s="25">
        <v>4255.12</v>
      </c>
      <c r="G29" s="32">
        <f t="shared" si="12"/>
        <v>-174.6899999999996</v>
      </c>
      <c r="H29" s="25">
        <v>4080.4300000000003</v>
      </c>
      <c r="J29" s="98">
        <v>-1936.1999999999998</v>
      </c>
      <c r="K29" s="99">
        <v>-0.32180805533994938</v>
      </c>
      <c r="M29" s="4" t="s">
        <v>22</v>
      </c>
      <c r="N29" s="25">
        <v>6016.63</v>
      </c>
      <c r="O29" s="25">
        <f>P29-N29</f>
        <v>0</v>
      </c>
      <c r="P29" s="25">
        <v>6016.63</v>
      </c>
      <c r="Q29" s="25"/>
      <c r="R29" s="13"/>
      <c r="S29" s="23">
        <v>4080.4300000000003</v>
      </c>
      <c r="T29" s="82">
        <f>SUM('[1]2025 Budget Abbrvte'!AC23:AE23)</f>
        <v>6936.7889784289309</v>
      </c>
      <c r="U29" s="82">
        <f>SUM('[1]2025 Budget Abbrvte'!AF23:AH23)</f>
        <v>5683.1916441219346</v>
      </c>
      <c r="V29" s="83">
        <f t="shared" si="6"/>
        <v>12619.980622550866</v>
      </c>
      <c r="W29" s="86">
        <f t="shared" si="14"/>
        <v>-8539.5506225508652</v>
      </c>
      <c r="X29" s="87">
        <f t="shared" si="15"/>
        <v>-0.67666907564750078</v>
      </c>
      <c r="Y29" s="90" t="s">
        <v>22</v>
      </c>
      <c r="Z29" s="4"/>
      <c r="AA29" s="4"/>
      <c r="AC29" s="4" t="s">
        <v>22</v>
      </c>
      <c r="AD29" s="14">
        <v>4080.4300000000003</v>
      </c>
      <c r="AE29" s="14">
        <v>6016.63</v>
      </c>
      <c r="AF29" s="15">
        <v>-1936.1999999999998</v>
      </c>
      <c r="AG29" s="16">
        <v>-0.32180805533994938</v>
      </c>
    </row>
    <row r="30" spans="1:33" ht="15.95" customHeight="1" x14ac:dyDescent="0.25">
      <c r="A30" s="9"/>
      <c r="C30" s="4"/>
      <c r="E30" s="93" t="s">
        <v>61</v>
      </c>
      <c r="F30" s="24">
        <v>31585.309999999998</v>
      </c>
      <c r="G30" s="34">
        <f t="shared" si="12"/>
        <v>31871.880000000005</v>
      </c>
      <c r="H30" s="24">
        <f>SUM(H24:H29)</f>
        <v>63457.19</v>
      </c>
      <c r="J30" s="29">
        <f>(H30)-(P30)</f>
        <v>15593.810000000005</v>
      </c>
      <c r="K30" s="100">
        <f>IF(ABS((P30))=0,"",((H30)-(P30))/(ABS((P30))))</f>
        <v>0.32579834520671141</v>
      </c>
      <c r="M30" s="4" t="s">
        <v>61</v>
      </c>
      <c r="N30" s="24">
        <f>SUM(N24:N29)</f>
        <v>27926.54</v>
      </c>
      <c r="O30" s="24">
        <f>SUM(O24:O29)</f>
        <v>19936.84</v>
      </c>
      <c r="P30" s="24">
        <f>SUM(P24:P29)</f>
        <v>47863.38</v>
      </c>
      <c r="Q30" s="26"/>
      <c r="R30" s="11"/>
      <c r="S30" s="85">
        <f>SUM(S24:S29)</f>
        <v>63457.19</v>
      </c>
      <c r="T30" s="82">
        <f>SUM('[1]2025 Budget Abbrvte'!AC25:AE25)</f>
        <v>40249.622579800023</v>
      </c>
      <c r="U30" s="82">
        <f>SUM('[1]2025 Budget Abbrvte'!AF25:AH25)</f>
        <v>35425.182395327531</v>
      </c>
      <c r="V30" s="83">
        <f t="shared" si="6"/>
        <v>75674.804975127554</v>
      </c>
      <c r="W30" s="86">
        <f t="shared" si="14"/>
        <v>-12217.614975127552</v>
      </c>
      <c r="X30" s="87">
        <f t="shared" si="15"/>
        <v>-0.16144891260893479</v>
      </c>
      <c r="Y30" s="90" t="s">
        <v>61</v>
      </c>
      <c r="Z30" s="4"/>
      <c r="AA30" s="4"/>
      <c r="AC30" s="4" t="s">
        <v>61</v>
      </c>
      <c r="AD30" s="17">
        <f>SUM(AD24:AD29)</f>
        <v>63457.19</v>
      </c>
      <c r="AE30" s="17">
        <f>SUM(AE24:AE29)</f>
        <v>47863.38</v>
      </c>
      <c r="AF30" s="17">
        <f>SUM(AF24:AF29)</f>
        <v>15593.810000000001</v>
      </c>
      <c r="AG30" s="18">
        <f>IF(ABS((AE30))=0,"",((AD30)-(AE30))/(ABS((AE30))))</f>
        <v>0.32579834520671141</v>
      </c>
    </row>
    <row r="31" spans="1:33" ht="15.95" customHeight="1" x14ac:dyDescent="0.25">
      <c r="A31" s="9"/>
      <c r="C31" s="4"/>
      <c r="E31" s="93" t="s">
        <v>24</v>
      </c>
      <c r="F31" s="24">
        <v>170136.78999999998</v>
      </c>
      <c r="G31" s="32">
        <f t="shared" si="12"/>
        <v>76181.19</v>
      </c>
      <c r="H31" s="24">
        <f>(H22)-(H30)</f>
        <v>246317.97999999998</v>
      </c>
      <c r="J31" s="29">
        <f>(H31)-(P31)</f>
        <v>99684.63</v>
      </c>
      <c r="K31" s="100">
        <f>IF(ABS((P31))=0,"",((H31)-(P31))/(ABS((P31))))</f>
        <v>0.67982235964737914</v>
      </c>
      <c r="M31" s="4" t="s">
        <v>24</v>
      </c>
      <c r="N31" s="24">
        <f>N22-N30</f>
        <v>88754.51999999999</v>
      </c>
      <c r="O31" s="24">
        <f>O22-O30</f>
        <v>57878.83</v>
      </c>
      <c r="P31" s="24">
        <f>P22-P30</f>
        <v>146633.34999999998</v>
      </c>
      <c r="Q31" s="26"/>
      <c r="R31" s="11"/>
      <c r="S31" s="26">
        <f>(S22)-(S30)</f>
        <v>246317.97999999998</v>
      </c>
      <c r="T31" s="63">
        <f>SUM('[1]2025 Budget Abbrvte'!AC26:AE26)</f>
        <v>108732.01176465829</v>
      </c>
      <c r="U31" s="63">
        <f>SUM('[1]2025 Budget Abbrvte'!AF26:AH26)</f>
        <v>93238.812526916896</v>
      </c>
      <c r="V31" s="78">
        <f t="shared" si="6"/>
        <v>201970.82429157518</v>
      </c>
      <c r="W31" s="79">
        <f t="shared" si="14"/>
        <v>44347.155708424805</v>
      </c>
      <c r="X31" s="80">
        <f t="shared" si="15"/>
        <v>0.21957208851315591</v>
      </c>
      <c r="Y31" s="90" t="s">
        <v>24</v>
      </c>
      <c r="Z31" s="4"/>
      <c r="AA31" s="4"/>
      <c r="AC31" s="4" t="s">
        <v>24</v>
      </c>
      <c r="AD31" s="17">
        <f>(AD22)-(AD30)</f>
        <v>246317.97999999998</v>
      </c>
      <c r="AE31" s="17">
        <f>(AE22)-(AE30)</f>
        <v>146633.34999999998</v>
      </c>
      <c r="AF31" s="17">
        <f>(AD31)-(AE31)</f>
        <v>99684.63</v>
      </c>
      <c r="AG31" s="18">
        <f>IF(ABS((AE31))=0,"",((AD31)-(AE31))/(ABS((AE31))))</f>
        <v>0.67982235964737914</v>
      </c>
    </row>
    <row r="32" spans="1:33" ht="15.95" customHeight="1" x14ac:dyDescent="0.25">
      <c r="A32" s="9"/>
      <c r="E32" s="94"/>
      <c r="F32" s="27"/>
      <c r="G32" s="27"/>
      <c r="H32" s="27"/>
      <c r="J32" s="30"/>
      <c r="K32" s="101"/>
      <c r="N32" s="27"/>
      <c r="O32" s="27"/>
      <c r="P32" s="27"/>
      <c r="Q32" s="27"/>
      <c r="S32" s="25"/>
      <c r="T32" s="63"/>
      <c r="U32" s="63"/>
      <c r="V32" s="78"/>
      <c r="W32" s="81"/>
      <c r="X32" s="81"/>
      <c r="Y32" s="91"/>
      <c r="AD32" s="14"/>
      <c r="AE32" s="14"/>
      <c r="AF32" s="14"/>
      <c r="AG32" s="14"/>
    </row>
    <row r="33" spans="1:33" ht="15.95" customHeight="1" x14ac:dyDescent="0.25">
      <c r="A33" s="9"/>
      <c r="C33" s="4"/>
      <c r="E33" s="93" t="s">
        <v>25</v>
      </c>
      <c r="F33" s="27"/>
      <c r="G33" s="27"/>
      <c r="H33" s="27"/>
      <c r="J33" s="30"/>
      <c r="K33" s="101"/>
      <c r="M33" s="4" t="s">
        <v>25</v>
      </c>
      <c r="N33" s="27"/>
      <c r="O33" s="27"/>
      <c r="P33" s="27"/>
      <c r="Q33" s="27"/>
      <c r="S33" s="27"/>
      <c r="T33" s="63"/>
      <c r="U33" s="63"/>
      <c r="V33" s="78"/>
      <c r="W33" s="81"/>
      <c r="X33" s="81"/>
      <c r="Y33" s="90" t="s">
        <v>25</v>
      </c>
      <c r="Z33" s="4"/>
      <c r="AA33" s="4"/>
      <c r="AC33" s="4" t="s">
        <v>25</v>
      </c>
    </row>
    <row r="34" spans="1:33" ht="15.95" customHeight="1" x14ac:dyDescent="0.25">
      <c r="A34" s="9"/>
      <c r="C34" s="4"/>
      <c r="E34" s="93" t="s">
        <v>62</v>
      </c>
      <c r="F34" s="25">
        <v>473.43</v>
      </c>
      <c r="G34" s="32">
        <f t="shared" ref="G34:G43" si="16">H34-F34</f>
        <v>318.48999999999995</v>
      </c>
      <c r="H34" s="25">
        <v>791.92</v>
      </c>
      <c r="J34" s="98">
        <v>-6220.11</v>
      </c>
      <c r="K34" s="99">
        <v>-0.88706266231034381</v>
      </c>
      <c r="M34" s="4" t="s">
        <v>62</v>
      </c>
      <c r="N34" s="25">
        <v>812.71</v>
      </c>
      <c r="O34" s="25">
        <f t="shared" ref="O34:O39" si="17">P34-N34</f>
        <v>6199.32</v>
      </c>
      <c r="P34" s="25">
        <v>7012.03</v>
      </c>
      <c r="Q34" s="25"/>
      <c r="R34" s="13"/>
      <c r="S34" s="25">
        <v>791.92</v>
      </c>
      <c r="T34" s="63">
        <f>SUM('[1]2025 Budget Abbrvte'!AC28:AE28)</f>
        <v>455.12328872186225</v>
      </c>
      <c r="U34" s="63">
        <f>SUM('[1]2025 Budget Abbrvte'!AF28:AH28)</f>
        <v>3036.3538750623156</v>
      </c>
      <c r="V34" s="78">
        <f t="shared" si="6"/>
        <v>3491.4771637841777</v>
      </c>
      <c r="W34" s="79">
        <f t="shared" ref="W34:W35" si="18">S34-V34</f>
        <v>-2699.5571637841776</v>
      </c>
      <c r="X34" s="80">
        <f t="shared" ref="X34:X35" si="19">W34/V34</f>
        <v>-0.77318482612050332</v>
      </c>
      <c r="Y34" s="90" t="s">
        <v>62</v>
      </c>
      <c r="Z34" s="4"/>
      <c r="AA34" s="4"/>
      <c r="AC34" s="4" t="s">
        <v>62</v>
      </c>
      <c r="AD34" s="14">
        <v>791.92</v>
      </c>
      <c r="AE34" s="14">
        <v>7012.03</v>
      </c>
      <c r="AF34" s="15">
        <v>-6220.11</v>
      </c>
      <c r="AG34" s="16">
        <v>-0.88706266231034381</v>
      </c>
    </row>
    <row r="35" spans="1:33" ht="15.95" customHeight="1" x14ac:dyDescent="0.25">
      <c r="A35" s="9"/>
      <c r="C35" s="4"/>
      <c r="E35" s="93" t="s">
        <v>63</v>
      </c>
      <c r="F35" s="25">
        <v>3992.34</v>
      </c>
      <c r="G35" s="32">
        <f t="shared" si="16"/>
        <v>2864.9099999999989</v>
      </c>
      <c r="H35" s="25">
        <v>6857.2499999999991</v>
      </c>
      <c r="J35" s="98">
        <v>1433.3899999999994</v>
      </c>
      <c r="K35" s="99">
        <v>0.26427488910111979</v>
      </c>
      <c r="M35" s="4" t="s">
        <v>63</v>
      </c>
      <c r="N35" s="25">
        <v>2859.4</v>
      </c>
      <c r="O35" s="25">
        <f t="shared" si="17"/>
        <v>2564.4599999999996</v>
      </c>
      <c r="P35" s="25">
        <v>5423.86</v>
      </c>
      <c r="Q35" s="25"/>
      <c r="R35" s="13"/>
      <c r="S35" s="25">
        <v>6857.2499999999991</v>
      </c>
      <c r="T35" s="63">
        <f>SUM('[1]2025 Budget Abbrvte'!AC29:AE29)</f>
        <v>4145.0607604264032</v>
      </c>
      <c r="U35" s="63">
        <f>SUM('[1]2025 Budget Abbrvte'!AF29:AH29)</f>
        <v>3698.6977081246328</v>
      </c>
      <c r="V35" s="78">
        <f t="shared" si="6"/>
        <v>7843.7584685510355</v>
      </c>
      <c r="W35" s="79">
        <f t="shared" si="18"/>
        <v>-986.50846855103646</v>
      </c>
      <c r="X35" s="80">
        <f t="shared" si="19"/>
        <v>-0.12576986817051655</v>
      </c>
      <c r="Y35" s="90" t="s">
        <v>63</v>
      </c>
      <c r="Z35" s="4"/>
      <c r="AA35" s="4"/>
      <c r="AC35" s="4" t="s">
        <v>63</v>
      </c>
      <c r="AD35" s="14">
        <v>6857.2499999999991</v>
      </c>
      <c r="AE35" s="14">
        <v>5423.86</v>
      </c>
      <c r="AF35" s="15">
        <v>1433.3899999999994</v>
      </c>
      <c r="AG35" s="16">
        <v>0.26427488910111979</v>
      </c>
    </row>
    <row r="36" spans="1:33" ht="15.95" customHeight="1" x14ac:dyDescent="0.25">
      <c r="A36" s="9"/>
      <c r="C36" s="4"/>
      <c r="E36" s="93" t="s">
        <v>31</v>
      </c>
      <c r="F36" s="25"/>
      <c r="G36" s="32">
        <f t="shared" si="16"/>
        <v>0</v>
      </c>
      <c r="H36" s="25"/>
      <c r="J36" s="98">
        <f>(H36)-(P36)</f>
        <v>0</v>
      </c>
      <c r="K36" s="99" t="str">
        <f>IF(ABS((P36))=0,"",((H36)-(P36))/(ABS((P36))))</f>
        <v/>
      </c>
      <c r="M36" s="4" t="s">
        <v>31</v>
      </c>
      <c r="N36" s="25"/>
      <c r="O36" s="25">
        <f t="shared" si="17"/>
        <v>0</v>
      </c>
      <c r="P36" s="25"/>
      <c r="Q36" s="25"/>
      <c r="R36" s="13"/>
      <c r="S36" s="25"/>
      <c r="T36" s="63"/>
      <c r="U36" s="63"/>
      <c r="V36" s="78"/>
      <c r="W36" s="81"/>
      <c r="X36" s="81"/>
      <c r="Y36" s="90" t="s">
        <v>31</v>
      </c>
      <c r="Z36" s="4"/>
      <c r="AA36" s="4"/>
      <c r="AC36" s="4" t="s">
        <v>31</v>
      </c>
      <c r="AD36" s="14"/>
      <c r="AE36" s="14"/>
      <c r="AF36" s="15">
        <f>(AD36)-(AE36)</f>
        <v>0</v>
      </c>
      <c r="AG36" s="16" t="str">
        <f>IF(ABS((AE36))=0,"",((AD36)-(AE36))/(ABS((AE36))))</f>
        <v/>
      </c>
    </row>
    <row r="37" spans="1:33" ht="15.95" customHeight="1" x14ac:dyDescent="0.25">
      <c r="A37" s="9"/>
      <c r="C37" s="4"/>
      <c r="E37" s="93" t="s">
        <v>32</v>
      </c>
      <c r="F37" s="63">
        <v>1097.94</v>
      </c>
      <c r="G37" s="32">
        <f t="shared" si="16"/>
        <v>2032.8200000000002</v>
      </c>
      <c r="H37" s="63">
        <f>3130.76</f>
        <v>3130.76</v>
      </c>
      <c r="J37" s="98">
        <f>(H37)-(P37)</f>
        <v>1193.4700000000003</v>
      </c>
      <c r="K37" s="99">
        <f>IF(ABS((P37))=0,"",((H37)-(P37))/(ABS((P37))))</f>
        <v>0.61605128813961785</v>
      </c>
      <c r="M37" s="4" t="s">
        <v>32</v>
      </c>
      <c r="N37" s="63">
        <v>959.29</v>
      </c>
      <c r="O37" s="25">
        <f t="shared" si="17"/>
        <v>978</v>
      </c>
      <c r="P37" s="63">
        <f>1937.29</f>
        <v>1937.29</v>
      </c>
      <c r="Q37" s="63"/>
      <c r="R37" s="64"/>
      <c r="S37" s="63">
        <f>3130.76</f>
        <v>3130.76</v>
      </c>
      <c r="T37" s="63">
        <f>SUM('[1]2025 Budget Abbrvte'!AC31:AE31)</f>
        <v>25752.212389380533</v>
      </c>
      <c r="U37" s="63">
        <f>SUM('[1]2025 Budget Abbrvte'!AF31:AH31)</f>
        <v>2425.8020317994396</v>
      </c>
      <c r="V37" s="78">
        <f t="shared" si="6"/>
        <v>28178.014421179971</v>
      </c>
      <c r="W37" s="79">
        <f t="shared" ref="W37:W40" si="20">S37-V37</f>
        <v>-25047.254421179969</v>
      </c>
      <c r="X37" s="80">
        <f t="shared" ref="X37:X40" si="21">W37/V37</f>
        <v>-0.88889351984834064</v>
      </c>
      <c r="Y37" s="90" t="s">
        <v>32</v>
      </c>
      <c r="Z37" s="4"/>
      <c r="AA37" s="4"/>
      <c r="AC37" s="4" t="s">
        <v>32</v>
      </c>
      <c r="AD37" s="15">
        <f>3130.76</f>
        <v>3130.76</v>
      </c>
      <c r="AE37" s="15">
        <f>1937.29</f>
        <v>1937.29</v>
      </c>
      <c r="AF37" s="15">
        <f>(AD37)-(AE37)</f>
        <v>1193.4700000000003</v>
      </c>
      <c r="AG37" s="16">
        <f>IF(ABS((AE37))=0,"",((AD37)-(AE37))/(ABS((AE37))))</f>
        <v>0.61605128813961785</v>
      </c>
    </row>
    <row r="38" spans="1:33" ht="15.95" customHeight="1" x14ac:dyDescent="0.25">
      <c r="A38" s="9"/>
      <c r="C38" s="4"/>
      <c r="E38" s="93" t="s">
        <v>33</v>
      </c>
      <c r="F38" s="63">
        <v>6026.05</v>
      </c>
      <c r="G38" s="32">
        <f t="shared" si="16"/>
        <v>9033.5999999999985</v>
      </c>
      <c r="H38" s="63">
        <f>15059.65</f>
        <v>15059.65</v>
      </c>
      <c r="J38" s="98">
        <f>(H38)-(P38)</f>
        <v>8560.869999999999</v>
      </c>
      <c r="K38" s="99">
        <f>IF(ABS((P38))=0,"",((H38)-(P38))/(ABS((P38))))</f>
        <v>1.3173041709366988</v>
      </c>
      <c r="M38" s="4" t="s">
        <v>33</v>
      </c>
      <c r="N38" s="63">
        <v>5939.31</v>
      </c>
      <c r="O38" s="25">
        <f t="shared" si="17"/>
        <v>559.46999999999935</v>
      </c>
      <c r="P38" s="63">
        <f>6498.78</f>
        <v>6498.78</v>
      </c>
      <c r="Q38" s="63"/>
      <c r="R38" s="64"/>
      <c r="S38" s="63">
        <f>15059.65</f>
        <v>15059.65</v>
      </c>
      <c r="T38" s="63">
        <f>SUM('[1]2025 Budget Abbrvte'!AC32:AE32)</f>
        <v>1492.4311962288223</v>
      </c>
      <c r="U38" s="63">
        <f>SUM('[1]2025 Budget Abbrvte'!AF32:AH32)</f>
        <v>1521.5395864772779</v>
      </c>
      <c r="V38" s="78">
        <f t="shared" si="6"/>
        <v>3013.9707827061002</v>
      </c>
      <c r="W38" s="79">
        <f t="shared" si="20"/>
        <v>12045.679217293899</v>
      </c>
      <c r="X38" s="80">
        <f t="shared" si="21"/>
        <v>3.9966144616964931</v>
      </c>
      <c r="Y38" s="90" t="s">
        <v>33</v>
      </c>
      <c r="Z38" s="4"/>
      <c r="AA38" s="4"/>
      <c r="AC38" s="4" t="s">
        <v>33</v>
      </c>
      <c r="AD38" s="15">
        <f>15059.65</f>
        <v>15059.65</v>
      </c>
      <c r="AE38" s="15">
        <f>6498.78</f>
        <v>6498.78</v>
      </c>
      <c r="AF38" s="15">
        <f>(AD38)-(AE38)</f>
        <v>8560.869999999999</v>
      </c>
      <c r="AG38" s="16">
        <f>IF(ABS((AE38))=0,"",((AD38)-(AE38))/(ABS((AE38))))</f>
        <v>1.3173041709366988</v>
      </c>
    </row>
    <row r="39" spans="1:33" ht="15.95" customHeight="1" x14ac:dyDescent="0.25">
      <c r="A39" s="9"/>
      <c r="C39" s="4"/>
      <c r="E39" s="93" t="s">
        <v>34</v>
      </c>
      <c r="F39" s="25">
        <v>6071.99</v>
      </c>
      <c r="G39" s="33">
        <f t="shared" si="16"/>
        <v>14097.6</v>
      </c>
      <c r="H39" s="25">
        <v>20169.59</v>
      </c>
      <c r="J39" s="98">
        <v>6816.1999999999989</v>
      </c>
      <c r="K39" s="99">
        <v>0.51044715985978084</v>
      </c>
      <c r="M39" s="4" t="s">
        <v>34</v>
      </c>
      <c r="N39" s="25">
        <v>6214.92</v>
      </c>
      <c r="O39" s="25">
        <f t="shared" si="17"/>
        <v>7138.4700000000012</v>
      </c>
      <c r="P39" s="25">
        <v>13353.390000000001</v>
      </c>
      <c r="Q39" s="25"/>
      <c r="R39" s="13"/>
      <c r="S39" s="23">
        <v>20169.59</v>
      </c>
      <c r="T39" s="82">
        <f>SUM('[1]2025 Budget Abbrvte'!AC33:AE33)</f>
        <v>6357.0807305036906</v>
      </c>
      <c r="U39" s="82">
        <f>SUM('[1]2025 Budget Abbrvte'!AF33:AH33)</f>
        <v>7301.756109857999</v>
      </c>
      <c r="V39" s="83">
        <f t="shared" si="6"/>
        <v>13658.83684036169</v>
      </c>
      <c r="W39" s="86">
        <f t="shared" si="20"/>
        <v>6510.7531596383105</v>
      </c>
      <c r="X39" s="87">
        <f t="shared" si="21"/>
        <v>0.47666966343716161</v>
      </c>
      <c r="Y39" s="90" t="s">
        <v>34</v>
      </c>
      <c r="Z39" s="4"/>
      <c r="AA39" s="4"/>
      <c r="AC39" s="4" t="s">
        <v>34</v>
      </c>
      <c r="AD39" s="14">
        <v>20169.59</v>
      </c>
      <c r="AE39" s="14">
        <v>13353.390000000001</v>
      </c>
      <c r="AF39" s="15">
        <v>6816.1999999999989</v>
      </c>
      <c r="AG39" s="16">
        <v>0.51044715985978084</v>
      </c>
    </row>
    <row r="40" spans="1:33" ht="15.95" customHeight="1" x14ac:dyDescent="0.25">
      <c r="A40" s="9"/>
      <c r="C40" s="4"/>
      <c r="E40" s="93" t="s">
        <v>35</v>
      </c>
      <c r="F40" s="24">
        <v>13195.98</v>
      </c>
      <c r="G40" s="32">
        <f t="shared" si="16"/>
        <v>25164.02</v>
      </c>
      <c r="H40" s="24">
        <f>SUM(H37:H39)</f>
        <v>38360</v>
      </c>
      <c r="J40" s="29">
        <f>(H40)-(P40)</f>
        <v>16570.54</v>
      </c>
      <c r="K40" s="100">
        <f>IF(ABS((P40))=0,"",((H40)-(P40))/(ABS((P40))))</f>
        <v>0.76048419740553463</v>
      </c>
      <c r="M40" s="4" t="s">
        <v>35</v>
      </c>
      <c r="N40" s="24">
        <f>SUM(N37:N39)</f>
        <v>13113.52</v>
      </c>
      <c r="O40" s="24">
        <f>SUM(O37:O39)</f>
        <v>8675.94</v>
      </c>
      <c r="P40" s="24">
        <f>SUM(P37:P39)</f>
        <v>21789.46</v>
      </c>
      <c r="Q40" s="26"/>
      <c r="R40" s="21"/>
      <c r="S40" s="26">
        <f>SUM(S37:S39)</f>
        <v>38360</v>
      </c>
      <c r="T40" s="63">
        <f>SUM('[1]2025 Budget Abbrvte'!AC34:AE34)</f>
        <v>33601.724316113046</v>
      </c>
      <c r="U40" s="63">
        <f>SUM('[1]2025 Budget Abbrvte'!AF34:AH34)</f>
        <v>11249.097728134719</v>
      </c>
      <c r="V40" s="78">
        <f t="shared" si="6"/>
        <v>44850.822044247761</v>
      </c>
      <c r="W40" s="79">
        <f t="shared" si="20"/>
        <v>-6490.8220442477614</v>
      </c>
      <c r="X40" s="80">
        <f t="shared" si="21"/>
        <v>-0.1447202469966819</v>
      </c>
      <c r="Y40" s="90" t="s">
        <v>35</v>
      </c>
      <c r="Z40" s="4"/>
      <c r="AA40" s="4"/>
      <c r="AC40" s="4" t="s">
        <v>35</v>
      </c>
      <c r="AD40" s="17">
        <f>SUM(AD37:AD39)</f>
        <v>38360</v>
      </c>
      <c r="AE40" s="17">
        <f>SUM(AE37:AE39)</f>
        <v>21789.46</v>
      </c>
      <c r="AF40" s="17">
        <f>(AD40)-(AE40)</f>
        <v>16570.54</v>
      </c>
      <c r="AG40" s="18">
        <f>IF(ABS((AE40))=0,"",((AD40)-(AE40))/(ABS((AE40))))</f>
        <v>0.76048419740553463</v>
      </c>
    </row>
    <row r="41" spans="1:33" ht="15.95" customHeight="1" x14ac:dyDescent="0.25">
      <c r="A41" s="9"/>
      <c r="C41" s="4"/>
      <c r="E41" s="93" t="s">
        <v>36</v>
      </c>
      <c r="F41" s="25"/>
      <c r="G41" s="32">
        <f t="shared" si="16"/>
        <v>0</v>
      </c>
      <c r="H41" s="25"/>
      <c r="J41" s="98">
        <f>(H41)-(P41)</f>
        <v>0</v>
      </c>
      <c r="K41" s="99" t="str">
        <f>IF(ABS((P41))=0,"",((H41)-(P41))/(ABS((P41))))</f>
        <v/>
      </c>
      <c r="M41" s="4" t="s">
        <v>36</v>
      </c>
      <c r="N41" s="25"/>
      <c r="O41" s="25"/>
      <c r="P41" s="25"/>
      <c r="Q41" s="25"/>
      <c r="R41" s="13"/>
      <c r="S41" s="25"/>
      <c r="T41" s="63"/>
      <c r="U41" s="63"/>
      <c r="V41" s="78"/>
      <c r="W41" s="81"/>
      <c r="X41" s="81"/>
      <c r="Y41" s="90" t="s">
        <v>36</v>
      </c>
      <c r="Z41" s="4"/>
      <c r="AA41" s="4"/>
      <c r="AC41" s="4" t="s">
        <v>36</v>
      </c>
      <c r="AD41" s="14"/>
      <c r="AE41" s="14"/>
      <c r="AF41" s="15">
        <f>(AD41)-(AE41)</f>
        <v>0</v>
      </c>
      <c r="AG41" s="16" t="str">
        <f>IF(ABS((AE41))=0,"",((AD41)-(AE41))/(ABS((AE41))))</f>
        <v/>
      </c>
    </row>
    <row r="42" spans="1:33" ht="15.95" customHeight="1" x14ac:dyDescent="0.25">
      <c r="A42" s="9"/>
      <c r="C42" s="4"/>
      <c r="E42" s="93" t="s">
        <v>38</v>
      </c>
      <c r="F42" s="63">
        <v>585.6</v>
      </c>
      <c r="G42" s="32">
        <f t="shared" si="16"/>
        <v>0</v>
      </c>
      <c r="H42" s="63">
        <f>585.6</f>
        <v>585.6</v>
      </c>
      <c r="J42" s="98">
        <f>(H42)-(P42)</f>
        <v>8.5199999999999818</v>
      </c>
      <c r="K42" s="99">
        <f>IF(ABS((P42))=0,"",((H42)-(P42))/(ABS((P42))))</f>
        <v>1.4763984196298574E-2</v>
      </c>
      <c r="M42" s="4" t="s">
        <v>38</v>
      </c>
      <c r="N42" s="63">
        <v>284.27999999999997</v>
      </c>
      <c r="O42" s="25">
        <f t="shared" ref="O42:O51" si="22">P42-N42</f>
        <v>292.80000000000007</v>
      </c>
      <c r="P42" s="63">
        <f>577.08</f>
        <v>577.08000000000004</v>
      </c>
      <c r="Q42" s="63"/>
      <c r="R42" s="64"/>
      <c r="S42" s="63">
        <f>585.6</f>
        <v>585.6</v>
      </c>
      <c r="T42" s="63">
        <f>SUM('[1]2025 Budget Abbrvte'!AC37:AE37)</f>
        <v>293.40489214573228</v>
      </c>
      <c r="U42" s="63">
        <f>SUM('[1]2025 Budget Abbrvte'!AF37:AH37)</f>
        <v>302.19836928475598</v>
      </c>
      <c r="V42" s="78">
        <f t="shared" si="6"/>
        <v>595.60326143048826</v>
      </c>
      <c r="W42" s="79">
        <f t="shared" ref="W42:W48" si="23">S42-V42</f>
        <v>-10.003261430488237</v>
      </c>
      <c r="X42" s="80">
        <f t="shared" ref="X42:X48" si="24">W42/V42</f>
        <v>-1.6795175712206369E-2</v>
      </c>
      <c r="Y42" s="90" t="s">
        <v>38</v>
      </c>
      <c r="Z42" s="4"/>
      <c r="AA42" s="4"/>
      <c r="AC42" s="4" t="s">
        <v>38</v>
      </c>
      <c r="AD42" s="15">
        <f>585.6</f>
        <v>585.6</v>
      </c>
      <c r="AE42" s="15">
        <f>577.08</f>
        <v>577.08000000000004</v>
      </c>
      <c r="AF42" s="15">
        <f>(AD42)-(AE42)</f>
        <v>8.5199999999999818</v>
      </c>
      <c r="AG42" s="16">
        <f>IF(ABS((AE42))=0,"",((AD42)-(AE42))/(ABS((AE42))))</f>
        <v>1.4763984196298574E-2</v>
      </c>
    </row>
    <row r="43" spans="1:33" ht="15.95" customHeight="1" x14ac:dyDescent="0.25">
      <c r="A43" s="9"/>
      <c r="C43" s="4"/>
      <c r="E43" s="93" t="s">
        <v>39</v>
      </c>
      <c r="F43" s="63">
        <v>2630</v>
      </c>
      <c r="G43" s="32">
        <f t="shared" si="16"/>
        <v>4690</v>
      </c>
      <c r="H43" s="63">
        <f>7320</f>
        <v>7320</v>
      </c>
      <c r="J43" s="98">
        <f>(H43)-(P43)</f>
        <v>7320</v>
      </c>
      <c r="K43" s="99" t="str">
        <f>IF(ABS((P43))=0,"",((H43)-(P43))/(ABS((P43))))</f>
        <v/>
      </c>
      <c r="M43" s="4" t="s">
        <v>39</v>
      </c>
      <c r="N43" s="25"/>
      <c r="O43" s="25">
        <f t="shared" si="22"/>
        <v>0</v>
      </c>
      <c r="P43" s="25"/>
      <c r="Q43" s="25"/>
      <c r="R43" s="13"/>
      <c r="S43" s="63">
        <f>7320</f>
        <v>7320</v>
      </c>
      <c r="T43" s="63"/>
      <c r="U43" s="63">
        <f>SUM('[1]2025 Budget Abbrvte'!AF38:AH38)</f>
        <v>0</v>
      </c>
      <c r="V43" s="78">
        <f t="shared" si="6"/>
        <v>0</v>
      </c>
      <c r="W43" s="79">
        <f t="shared" si="23"/>
        <v>7320</v>
      </c>
      <c r="X43" s="80"/>
      <c r="Y43" s="90" t="s">
        <v>39</v>
      </c>
      <c r="Z43" s="4"/>
      <c r="AA43" s="4"/>
      <c r="AC43" s="4" t="s">
        <v>39</v>
      </c>
      <c r="AD43" s="15">
        <f>7320</f>
        <v>7320</v>
      </c>
      <c r="AE43" s="14"/>
      <c r="AF43" s="15">
        <f>(AD43)-(AE43)</f>
        <v>7320</v>
      </c>
      <c r="AG43" s="16" t="str">
        <f>IF(ABS((AE43))=0,"",((AD43)-(AE43))/(ABS((AE43))))</f>
        <v/>
      </c>
    </row>
    <row r="44" spans="1:33" ht="15.95" customHeight="1" x14ac:dyDescent="0.25">
      <c r="A44" s="9"/>
      <c r="C44" s="4"/>
      <c r="E44" s="93" t="s">
        <v>84</v>
      </c>
      <c r="F44" s="63"/>
      <c r="G44" s="32"/>
      <c r="H44" s="63"/>
      <c r="J44" s="98"/>
      <c r="K44" s="99"/>
      <c r="M44" s="4" t="s">
        <v>84</v>
      </c>
      <c r="N44" s="25"/>
      <c r="O44" s="25"/>
      <c r="P44" s="25"/>
      <c r="Q44" s="25"/>
      <c r="R44" s="13"/>
      <c r="S44" s="63"/>
      <c r="T44" s="63">
        <f>SUM('[1]2025 Budget Abbrvte'!AC39:AE39)</f>
        <v>0</v>
      </c>
      <c r="U44" s="63">
        <f>SUM('[1]2025 Budget Abbrvte'!AF39:AH39)</f>
        <v>0</v>
      </c>
      <c r="V44" s="78">
        <f t="shared" si="6"/>
        <v>0</v>
      </c>
      <c r="W44" s="79">
        <f t="shared" si="23"/>
        <v>0</v>
      </c>
      <c r="X44" s="80"/>
      <c r="Y44" s="90" t="s">
        <v>84</v>
      </c>
      <c r="Z44" s="4"/>
      <c r="AA44" s="4"/>
      <c r="AC44" s="4" t="s">
        <v>84</v>
      </c>
      <c r="AD44" s="15"/>
      <c r="AE44" s="14"/>
      <c r="AF44" s="15"/>
      <c r="AG44" s="16"/>
    </row>
    <row r="45" spans="1:33" ht="15.95" customHeight="1" x14ac:dyDescent="0.25">
      <c r="A45" s="9"/>
      <c r="C45" s="4"/>
      <c r="E45" s="93" t="s">
        <v>64</v>
      </c>
      <c r="F45" s="25">
        <v>2704</v>
      </c>
      <c r="G45" s="32">
        <f t="shared" ref="G45:G58" si="25">H45-F45</f>
        <v>1890</v>
      </c>
      <c r="H45" s="25">
        <v>4594</v>
      </c>
      <c r="J45" s="98">
        <v>-1469.75</v>
      </c>
      <c r="K45" s="99">
        <v>-0.24238301381158525</v>
      </c>
      <c r="M45" s="4" t="s">
        <v>64</v>
      </c>
      <c r="N45" s="65">
        <v>3255</v>
      </c>
      <c r="O45" s="25">
        <f t="shared" si="22"/>
        <v>2808.75</v>
      </c>
      <c r="P45" s="25">
        <v>6063.75</v>
      </c>
      <c r="Q45" s="25"/>
      <c r="R45" s="66"/>
      <c r="S45" s="25">
        <v>4594</v>
      </c>
      <c r="T45" s="63">
        <f>SUM('[1]2025 Budget Abbrvte'!AC40:AE40)</f>
        <v>4500</v>
      </c>
      <c r="U45" s="63">
        <f>SUM('[1]2025 Budget Abbrvte'!AF40:AH40)</f>
        <v>4500</v>
      </c>
      <c r="V45" s="78">
        <f t="shared" si="6"/>
        <v>9000</v>
      </c>
      <c r="W45" s="79">
        <f t="shared" si="23"/>
        <v>-4406</v>
      </c>
      <c r="X45" s="80">
        <f t="shared" si="24"/>
        <v>-0.48955555555555558</v>
      </c>
      <c r="Y45" s="90" t="s">
        <v>64</v>
      </c>
      <c r="Z45" s="4"/>
      <c r="AA45" s="4"/>
      <c r="AC45" s="4" t="s">
        <v>64</v>
      </c>
      <c r="AD45" s="14">
        <v>4594</v>
      </c>
      <c r="AE45" s="14">
        <v>6063.75</v>
      </c>
      <c r="AF45" s="15">
        <v>-1469.75</v>
      </c>
      <c r="AG45" s="16">
        <v>-0.24238301381158525</v>
      </c>
    </row>
    <row r="46" spans="1:33" ht="15.95" customHeight="1" x14ac:dyDescent="0.25">
      <c r="A46" s="9"/>
      <c r="C46" s="4"/>
      <c r="E46" s="93" t="s">
        <v>37</v>
      </c>
      <c r="F46" s="63">
        <v>4040</v>
      </c>
      <c r="G46" s="33">
        <f t="shared" si="25"/>
        <v>4915</v>
      </c>
      <c r="H46" s="63">
        <f>8955</f>
        <v>8955</v>
      </c>
      <c r="J46" s="98">
        <f t="shared" ref="J46:J58" si="26">(H46)-(P46)</f>
        <v>3284</v>
      </c>
      <c r="K46" s="99">
        <f t="shared" ref="K46:K58" si="27">IF(ABS((P46))=0,"",((H46)-(P46))/(ABS((P46))))</f>
        <v>0.57908658084993825</v>
      </c>
      <c r="M46" s="4" t="s">
        <v>37</v>
      </c>
      <c r="N46" s="63">
        <v>2691</v>
      </c>
      <c r="O46" s="25">
        <f t="shared" si="22"/>
        <v>2980</v>
      </c>
      <c r="P46" s="63">
        <f>5671</f>
        <v>5671</v>
      </c>
      <c r="Q46" s="63"/>
      <c r="R46" s="64"/>
      <c r="S46" s="82">
        <f>8955</f>
        <v>8955</v>
      </c>
      <c r="T46" s="82">
        <f>SUM('[1]2025 Budget Abbrvte'!AC41:AE41)</f>
        <v>3290.5355832721934</v>
      </c>
      <c r="U46" s="82">
        <f>SUM('[1]2025 Budget Abbrvte'!AF41:AH41)</f>
        <v>3643.9227194913183</v>
      </c>
      <c r="V46" s="83">
        <f t="shared" si="6"/>
        <v>6934.4583027635117</v>
      </c>
      <c r="W46" s="86">
        <f t="shared" si="23"/>
        <v>2020.5416972364883</v>
      </c>
      <c r="X46" s="87">
        <f t="shared" si="24"/>
        <v>0.29137700581907955</v>
      </c>
      <c r="Y46" s="90" t="s">
        <v>37</v>
      </c>
      <c r="Z46" s="4"/>
      <c r="AA46" s="4"/>
      <c r="AC46" s="4" t="s">
        <v>37</v>
      </c>
      <c r="AD46" s="15">
        <f>8955</f>
        <v>8955</v>
      </c>
      <c r="AE46" s="15">
        <f>5671</f>
        <v>5671</v>
      </c>
      <c r="AF46" s="15">
        <f t="shared" ref="AF46:AF58" si="28">(AD46)-(AE46)</f>
        <v>3284</v>
      </c>
      <c r="AG46" s="16">
        <f t="shared" ref="AG46:AG58" si="29">IF(ABS((AE46))=0,"",((AD46)-(AE46))/(ABS((AE46))))</f>
        <v>0.57908658084993825</v>
      </c>
    </row>
    <row r="47" spans="1:33" ht="15.95" customHeight="1" x14ac:dyDescent="0.25">
      <c r="A47" s="9"/>
      <c r="C47" s="4"/>
      <c r="E47" s="93" t="s">
        <v>40</v>
      </c>
      <c r="F47" s="24">
        <v>9959.6</v>
      </c>
      <c r="G47" s="32">
        <f t="shared" si="25"/>
        <v>11494.999999999998</v>
      </c>
      <c r="H47" s="24">
        <f>(((H45)+(H46))+(H42))+(H43)</f>
        <v>21454.6</v>
      </c>
      <c r="J47" s="29">
        <f t="shared" si="26"/>
        <v>9142.7699999999986</v>
      </c>
      <c r="K47" s="100">
        <f t="shared" si="27"/>
        <v>0.74260040952482276</v>
      </c>
      <c r="M47" s="4" t="s">
        <v>40</v>
      </c>
      <c r="N47" s="24">
        <f>SUM(N42:N46)</f>
        <v>6230.28</v>
      </c>
      <c r="O47" s="24">
        <f>SUM(O42:O46)</f>
        <v>6081.55</v>
      </c>
      <c r="P47" s="24">
        <f>SUM(P42:P46)</f>
        <v>12311.83</v>
      </c>
      <c r="Q47" s="26"/>
      <c r="R47" s="11"/>
      <c r="S47" s="26">
        <f>(((S45)+(S46))+(S42))+(S43)</f>
        <v>21454.6</v>
      </c>
      <c r="T47" s="63">
        <f>SUM('[1]2025 Budget Abbrvte'!AC42:AE42)</f>
        <v>8083.9404754179259</v>
      </c>
      <c r="U47" s="63">
        <f>SUM('[1]2025 Budget Abbrvte'!AF42:AH42)</f>
        <v>8446.1210887760735</v>
      </c>
      <c r="V47" s="78">
        <f t="shared" si="6"/>
        <v>16530.061564193998</v>
      </c>
      <c r="W47" s="79">
        <f t="shared" si="23"/>
        <v>4924.5384358060001</v>
      </c>
      <c r="X47" s="80">
        <f t="shared" si="24"/>
        <v>0.29791410132876411</v>
      </c>
      <c r="Y47" s="90" t="s">
        <v>40</v>
      </c>
      <c r="Z47" s="4"/>
      <c r="AA47" s="4"/>
      <c r="AC47" s="4" t="s">
        <v>40</v>
      </c>
      <c r="AD47" s="17">
        <f>(((AD45)+(AD46))+(AD42))+(AD43)</f>
        <v>21454.6</v>
      </c>
      <c r="AE47" s="17">
        <f>(((AE45)+(AE46))+(AE42))+(AE43)</f>
        <v>12311.83</v>
      </c>
      <c r="AF47" s="17">
        <f t="shared" si="28"/>
        <v>9142.7699999999986</v>
      </c>
      <c r="AG47" s="18">
        <f t="shared" si="29"/>
        <v>0.74260040952482276</v>
      </c>
    </row>
    <row r="48" spans="1:33" ht="15.95" customHeight="1" x14ac:dyDescent="0.25">
      <c r="A48" s="9"/>
      <c r="C48" s="4"/>
      <c r="E48" s="93" t="s">
        <v>26</v>
      </c>
      <c r="F48" s="63">
        <v>0</v>
      </c>
      <c r="G48" s="32">
        <f t="shared" si="25"/>
        <v>680</v>
      </c>
      <c r="H48" s="63">
        <f>680</f>
        <v>680</v>
      </c>
      <c r="J48" s="98">
        <f t="shared" si="26"/>
        <v>-1395</v>
      </c>
      <c r="K48" s="99">
        <f t="shared" si="27"/>
        <v>-0.67228915662650601</v>
      </c>
      <c r="M48" s="4" t="s">
        <v>26</v>
      </c>
      <c r="N48" s="63">
        <v>1400</v>
      </c>
      <c r="O48" s="25">
        <f t="shared" si="22"/>
        <v>675</v>
      </c>
      <c r="P48" s="63">
        <f>2075</f>
        <v>2075</v>
      </c>
      <c r="Q48" s="63"/>
      <c r="R48" s="64"/>
      <c r="S48" s="63">
        <f>680</f>
        <v>680</v>
      </c>
      <c r="T48" s="63">
        <f>SUM('[1]2025 Budget Abbrvte'!AC43:AE43)</f>
        <v>1349.3975903614457</v>
      </c>
      <c r="U48" s="63">
        <f>SUM('[1]2025 Budget Abbrvte'!AF43:AH43)</f>
        <v>650.60240963855426</v>
      </c>
      <c r="V48" s="78">
        <f t="shared" si="6"/>
        <v>2000</v>
      </c>
      <c r="W48" s="79">
        <f t="shared" si="23"/>
        <v>-1320</v>
      </c>
      <c r="X48" s="80">
        <f t="shared" si="24"/>
        <v>-0.66</v>
      </c>
      <c r="Y48" s="90" t="s">
        <v>26</v>
      </c>
      <c r="Z48" s="4"/>
      <c r="AA48" s="4"/>
      <c r="AC48" s="4" t="s">
        <v>26</v>
      </c>
      <c r="AD48" s="15">
        <f>680</f>
        <v>680</v>
      </c>
      <c r="AE48" s="15">
        <f>2075</f>
        <v>2075</v>
      </c>
      <c r="AF48" s="15">
        <f t="shared" si="28"/>
        <v>-1395</v>
      </c>
      <c r="AG48" s="16">
        <f t="shared" si="29"/>
        <v>-0.67228915662650601</v>
      </c>
    </row>
    <row r="49" spans="1:33" ht="15.95" customHeight="1" x14ac:dyDescent="0.25">
      <c r="A49" s="9"/>
      <c r="C49" s="4"/>
      <c r="E49" s="93" t="s">
        <v>27</v>
      </c>
      <c r="F49" s="25"/>
      <c r="G49" s="32">
        <f t="shared" si="25"/>
        <v>0</v>
      </c>
      <c r="H49" s="25"/>
      <c r="J49" s="98">
        <f t="shared" si="26"/>
        <v>0</v>
      </c>
      <c r="K49" s="99" t="str">
        <f t="shared" si="27"/>
        <v/>
      </c>
      <c r="M49" s="4" t="s">
        <v>27</v>
      </c>
      <c r="N49" s="25"/>
      <c r="O49" s="25">
        <f t="shared" si="22"/>
        <v>0</v>
      </c>
      <c r="P49" s="25"/>
      <c r="Q49" s="25"/>
      <c r="R49" s="13"/>
      <c r="S49" s="25"/>
      <c r="T49" s="63"/>
      <c r="U49" s="63"/>
      <c r="V49" s="78"/>
      <c r="W49" s="81"/>
      <c r="X49" s="81"/>
      <c r="Y49" s="90" t="s">
        <v>27</v>
      </c>
      <c r="Z49" s="4"/>
      <c r="AA49" s="4"/>
      <c r="AC49" s="4" t="s">
        <v>27</v>
      </c>
      <c r="AD49" s="14"/>
      <c r="AE49" s="14"/>
      <c r="AF49" s="15">
        <f t="shared" si="28"/>
        <v>0</v>
      </c>
      <c r="AG49" s="16" t="str">
        <f t="shared" si="29"/>
        <v/>
      </c>
    </row>
    <row r="50" spans="1:33" ht="15.95" customHeight="1" x14ac:dyDescent="0.25">
      <c r="A50" s="9"/>
      <c r="C50" s="4"/>
      <c r="E50" s="93" t="s">
        <v>28</v>
      </c>
      <c r="F50" s="25"/>
      <c r="G50" s="32">
        <f t="shared" si="25"/>
        <v>0</v>
      </c>
      <c r="H50" s="25"/>
      <c r="J50" s="98">
        <f t="shared" si="26"/>
        <v>-496</v>
      </c>
      <c r="K50" s="99">
        <f t="shared" si="27"/>
        <v>-1</v>
      </c>
      <c r="M50" s="4" t="s">
        <v>28</v>
      </c>
      <c r="N50" s="63">
        <v>496</v>
      </c>
      <c r="O50" s="25">
        <f t="shared" si="22"/>
        <v>0</v>
      </c>
      <c r="P50" s="63">
        <f>496</f>
        <v>496</v>
      </c>
      <c r="Q50" s="63"/>
      <c r="R50" s="64"/>
      <c r="S50" s="25"/>
      <c r="T50" s="63">
        <f>SUM('[1]2025 Budget Abbrvte'!AC45:AE45)</f>
        <v>554.69877955085053</v>
      </c>
      <c r="U50" s="63">
        <f>SUM('[1]2025 Budget Abbrvte'!AF46:AH46)</f>
        <v>569.19917864476383</v>
      </c>
      <c r="V50" s="78">
        <f t="shared" si="6"/>
        <v>1123.8979581956144</v>
      </c>
      <c r="W50" s="79">
        <f t="shared" ref="W50:W52" si="30">S50-V50</f>
        <v>-1123.8979581956144</v>
      </c>
      <c r="X50" s="80">
        <f t="shared" ref="X50:X52" si="31">W50/V50</f>
        <v>-1</v>
      </c>
      <c r="Y50" s="90" t="s">
        <v>28</v>
      </c>
      <c r="Z50" s="4"/>
      <c r="AA50" s="4"/>
      <c r="AC50" s="4" t="s">
        <v>28</v>
      </c>
      <c r="AD50" s="14"/>
      <c r="AE50" s="15">
        <f>496</f>
        <v>496</v>
      </c>
      <c r="AF50" s="15">
        <f t="shared" si="28"/>
        <v>-496</v>
      </c>
      <c r="AG50" s="16">
        <f t="shared" si="29"/>
        <v>-1</v>
      </c>
    </row>
    <row r="51" spans="1:33" ht="15.95" customHeight="1" x14ac:dyDescent="0.25">
      <c r="A51" s="9"/>
      <c r="C51" s="4"/>
      <c r="E51" s="93" t="s">
        <v>29</v>
      </c>
      <c r="F51" s="63">
        <v>78</v>
      </c>
      <c r="G51" s="33">
        <f t="shared" si="25"/>
        <v>1392.5</v>
      </c>
      <c r="H51" s="63">
        <f>1470.5</f>
        <v>1470.5</v>
      </c>
      <c r="J51" s="98">
        <f t="shared" si="26"/>
        <v>1008.5</v>
      </c>
      <c r="K51" s="99">
        <f t="shared" si="27"/>
        <v>2.1829004329004329</v>
      </c>
      <c r="M51" s="4" t="s">
        <v>29</v>
      </c>
      <c r="N51" s="25"/>
      <c r="O51" s="25">
        <f t="shared" si="22"/>
        <v>462</v>
      </c>
      <c r="P51" s="63">
        <f>462</f>
        <v>462</v>
      </c>
      <c r="Q51" s="63"/>
      <c r="R51" s="13"/>
      <c r="S51" s="82">
        <f>1470.5</f>
        <v>1470.5</v>
      </c>
      <c r="T51" s="82">
        <f>SUM('[1]2025 Budget Abbrvte'!AC46:AE46)</f>
        <v>0</v>
      </c>
      <c r="U51" s="82"/>
      <c r="V51" s="83">
        <f t="shared" si="6"/>
        <v>0</v>
      </c>
      <c r="W51" s="86">
        <f t="shared" si="30"/>
        <v>1470.5</v>
      </c>
      <c r="X51" s="87"/>
      <c r="Y51" s="90" t="s">
        <v>29</v>
      </c>
      <c r="Z51" s="4"/>
      <c r="AA51" s="4"/>
      <c r="AC51" s="4" t="s">
        <v>29</v>
      </c>
      <c r="AD51" s="15">
        <f>1470.5</f>
        <v>1470.5</v>
      </c>
      <c r="AE51" s="15">
        <f>462</f>
        <v>462</v>
      </c>
      <c r="AF51" s="15">
        <f t="shared" si="28"/>
        <v>1008.5</v>
      </c>
      <c r="AG51" s="16">
        <f t="shared" si="29"/>
        <v>2.1829004329004329</v>
      </c>
    </row>
    <row r="52" spans="1:33" ht="15.95" customHeight="1" x14ac:dyDescent="0.25">
      <c r="A52" s="9"/>
      <c r="C52" s="4"/>
      <c r="E52" s="93" t="s">
        <v>30</v>
      </c>
      <c r="F52" s="24">
        <v>78</v>
      </c>
      <c r="G52" s="32">
        <f t="shared" si="25"/>
        <v>1392.5</v>
      </c>
      <c r="H52" s="24">
        <f>((H49)+(H50))+(H51)</f>
        <v>1470.5</v>
      </c>
      <c r="J52" s="29">
        <f t="shared" si="26"/>
        <v>512.5</v>
      </c>
      <c r="K52" s="100">
        <f t="shared" si="27"/>
        <v>0.53496868475991655</v>
      </c>
      <c r="M52" s="4" t="s">
        <v>30</v>
      </c>
      <c r="N52" s="24">
        <f>SUM(N49:N51)</f>
        <v>496</v>
      </c>
      <c r="O52" s="24">
        <f>SUM(O49:O51)</f>
        <v>462</v>
      </c>
      <c r="P52" s="24">
        <f>SUM(P49:P51)</f>
        <v>958</v>
      </c>
      <c r="Q52" s="26"/>
      <c r="R52" s="11"/>
      <c r="S52" s="26">
        <f>((S49)+(S50))+(S51)</f>
        <v>1470.5</v>
      </c>
      <c r="T52" s="63">
        <f>SUM('[1]2025 Budget Abbrvte'!AC47:AE47)</f>
        <v>566.76795475700965</v>
      </c>
      <c r="U52" s="63">
        <f>SUM('[1]2025 Budget Abbrvte'!AF47:AH47)</f>
        <v>527.91692560027911</v>
      </c>
      <c r="V52" s="78">
        <f t="shared" si="6"/>
        <v>1094.6848803572889</v>
      </c>
      <c r="W52" s="79">
        <f t="shared" si="30"/>
        <v>375.81511964271112</v>
      </c>
      <c r="X52" s="80">
        <f t="shared" si="31"/>
        <v>0.34330895254536692</v>
      </c>
      <c r="Y52" s="90" t="s">
        <v>30</v>
      </c>
      <c r="Z52" s="4"/>
      <c r="AA52" s="4"/>
      <c r="AC52" s="4" t="s">
        <v>30</v>
      </c>
      <c r="AD52" s="17">
        <f>((AD49)+(AD50))+(AD51)</f>
        <v>1470.5</v>
      </c>
      <c r="AE52" s="17">
        <f>((AE49)+(AE50))+(AE51)</f>
        <v>958</v>
      </c>
      <c r="AF52" s="17">
        <f t="shared" si="28"/>
        <v>512.5</v>
      </c>
      <c r="AG52" s="18">
        <f t="shared" si="29"/>
        <v>0.53496868475991655</v>
      </c>
    </row>
    <row r="53" spans="1:33" ht="15.95" customHeight="1" x14ac:dyDescent="0.25">
      <c r="A53" s="9"/>
      <c r="C53" s="4"/>
      <c r="E53" s="93" t="s">
        <v>41</v>
      </c>
      <c r="F53" s="25"/>
      <c r="G53" s="32">
        <f t="shared" si="25"/>
        <v>-69.510000000000005</v>
      </c>
      <c r="H53" s="63">
        <f>-69.51</f>
        <v>-69.510000000000005</v>
      </c>
      <c r="J53" s="98">
        <f t="shared" si="26"/>
        <v>-69.510000000000005</v>
      </c>
      <c r="K53" s="99" t="str">
        <f t="shared" si="27"/>
        <v/>
      </c>
      <c r="M53" s="4" t="s">
        <v>41</v>
      </c>
      <c r="N53" s="25"/>
      <c r="O53" s="25"/>
      <c r="P53" s="25"/>
      <c r="Q53" s="25"/>
      <c r="R53" s="13"/>
      <c r="S53" s="63">
        <f>-69.51</f>
        <v>-69.510000000000005</v>
      </c>
      <c r="T53" s="63"/>
      <c r="U53" s="63"/>
      <c r="V53" s="78"/>
      <c r="W53" s="79">
        <f>S53-V53</f>
        <v>-69.510000000000005</v>
      </c>
      <c r="X53" s="80"/>
      <c r="Y53" s="90" t="s">
        <v>41</v>
      </c>
      <c r="Z53" s="4"/>
      <c r="AA53" s="4"/>
      <c r="AC53" s="4" t="s">
        <v>41</v>
      </c>
      <c r="AD53" s="15">
        <f>-69.51</f>
        <v>-69.510000000000005</v>
      </c>
      <c r="AE53" s="14"/>
      <c r="AF53" s="15">
        <f t="shared" si="28"/>
        <v>-69.510000000000005</v>
      </c>
      <c r="AG53" s="16" t="str">
        <f t="shared" si="29"/>
        <v/>
      </c>
    </row>
    <row r="54" spans="1:33" ht="15.95" customHeight="1" x14ac:dyDescent="0.25">
      <c r="A54" s="9"/>
      <c r="C54" s="4"/>
      <c r="E54" s="93" t="s">
        <v>43</v>
      </c>
      <c r="F54" s="63">
        <v>18134.79</v>
      </c>
      <c r="G54" s="32">
        <f t="shared" si="25"/>
        <v>16094.159999999996</v>
      </c>
      <c r="H54" s="63">
        <f>34228.95</f>
        <v>34228.949999999997</v>
      </c>
      <c r="J54" s="98">
        <f t="shared" si="26"/>
        <v>499.93999999999505</v>
      </c>
      <c r="K54" s="99">
        <f t="shared" si="27"/>
        <v>1.4822255381939613E-2</v>
      </c>
      <c r="M54" s="4" t="s">
        <v>43</v>
      </c>
      <c r="N54" s="63">
        <v>15382.9</v>
      </c>
      <c r="O54" s="25">
        <f t="shared" ref="O54:O55" si="32">P54-N54</f>
        <v>18346.11</v>
      </c>
      <c r="P54" s="63">
        <f>33729.01</f>
        <v>33729.01</v>
      </c>
      <c r="Q54" s="63"/>
      <c r="R54" s="64"/>
      <c r="S54" s="63">
        <f>34228.95</f>
        <v>34228.949999999997</v>
      </c>
      <c r="T54" s="63">
        <f>SUM('[1]2025 Budget Abbrvte'!AC50:AE50)</f>
        <v>38753.874439151841</v>
      </c>
      <c r="U54" s="63">
        <f>SUM('[1]2025 Budget Abbrvte'!AF49:AH49)</f>
        <v>10033.703437641259</v>
      </c>
      <c r="V54" s="78">
        <f t="shared" si="6"/>
        <v>48787.577876793104</v>
      </c>
      <c r="W54" s="79">
        <f t="shared" ref="W54:W58" si="33">S54-V54</f>
        <v>-14558.627876793107</v>
      </c>
      <c r="X54" s="80">
        <f t="shared" ref="X54:X58" si="34">W54/V54</f>
        <v>-0.29840849885106191</v>
      </c>
      <c r="Y54" s="90" t="s">
        <v>43</v>
      </c>
      <c r="Z54" s="4"/>
      <c r="AA54" s="4"/>
      <c r="AC54" s="4" t="s">
        <v>43</v>
      </c>
      <c r="AD54" s="15">
        <f>34228.95</f>
        <v>34228.949999999997</v>
      </c>
      <c r="AE54" s="15">
        <f>33729.01</f>
        <v>33729.01</v>
      </c>
      <c r="AF54" s="15">
        <f t="shared" si="28"/>
        <v>499.93999999999505</v>
      </c>
      <c r="AG54" s="16">
        <f t="shared" si="29"/>
        <v>1.4822255381939613E-2</v>
      </c>
    </row>
    <row r="55" spans="1:33" ht="15.95" customHeight="1" x14ac:dyDescent="0.25">
      <c r="C55" s="4"/>
      <c r="E55" s="93" t="s">
        <v>44</v>
      </c>
      <c r="F55" s="63">
        <v>23485.62</v>
      </c>
      <c r="G55" s="32">
        <f t="shared" si="25"/>
        <v>34457.61</v>
      </c>
      <c r="H55" s="63">
        <f>57943.23</f>
        <v>57943.23</v>
      </c>
      <c r="J55" s="98">
        <f t="shared" si="26"/>
        <v>11737.630000000005</v>
      </c>
      <c r="K55" s="99">
        <f t="shared" si="27"/>
        <v>0.25403046383988098</v>
      </c>
      <c r="M55" s="4" t="s">
        <v>44</v>
      </c>
      <c r="N55" s="63">
        <v>24438.48</v>
      </c>
      <c r="O55" s="25">
        <f t="shared" si="32"/>
        <v>21767.119999999999</v>
      </c>
      <c r="P55" s="63">
        <f>46205.6</f>
        <v>46205.599999999999</v>
      </c>
      <c r="Q55" s="63"/>
      <c r="R55" s="64"/>
      <c r="S55" s="63">
        <f>57943.23</f>
        <v>57943.23</v>
      </c>
      <c r="T55" s="63">
        <f>SUM('[1]2025 Budget Abbrvte'!AC51:AE51)</f>
        <v>4236.914338299458</v>
      </c>
      <c r="U55" s="63">
        <f>SUM('[1]2025 Budget Abbrvte'!AF50:AH50)</f>
        <v>34517.70467647542</v>
      </c>
      <c r="V55" s="78">
        <f t="shared" si="6"/>
        <v>38754.619014774878</v>
      </c>
      <c r="W55" s="79">
        <f t="shared" si="33"/>
        <v>19188.610985225125</v>
      </c>
      <c r="X55" s="80">
        <f t="shared" si="34"/>
        <v>0.49513094111206785</v>
      </c>
      <c r="Y55" s="90" t="s">
        <v>44</v>
      </c>
      <c r="Z55" s="4"/>
      <c r="AA55" s="4"/>
      <c r="AC55" s="4" t="s">
        <v>44</v>
      </c>
      <c r="AD55" s="15">
        <f>57943.23</f>
        <v>57943.23</v>
      </c>
      <c r="AE55" s="15">
        <f>46205.6</f>
        <v>46205.599999999999</v>
      </c>
      <c r="AF55" s="15">
        <f t="shared" si="28"/>
        <v>11737.630000000005</v>
      </c>
      <c r="AG55" s="16">
        <f t="shared" si="29"/>
        <v>0.25403046383988098</v>
      </c>
    </row>
    <row r="56" spans="1:33" ht="15.95" customHeight="1" x14ac:dyDescent="0.25">
      <c r="C56" s="4"/>
      <c r="E56" s="93" t="s">
        <v>42</v>
      </c>
      <c r="F56" s="63">
        <v>3774.35</v>
      </c>
      <c r="G56" s="32">
        <f t="shared" si="25"/>
        <v>5268.9400000000005</v>
      </c>
      <c r="H56" s="63">
        <f>9043.29</f>
        <v>9043.2900000000009</v>
      </c>
      <c r="J56" s="102">
        <f t="shared" si="26"/>
        <v>932.06000000000131</v>
      </c>
      <c r="K56" s="103">
        <f t="shared" si="27"/>
        <v>0.11490982255465587</v>
      </c>
      <c r="M56" s="4" t="s">
        <v>42</v>
      </c>
      <c r="N56" s="63">
        <v>3471.52</v>
      </c>
      <c r="O56" s="25">
        <f>P56-N56</f>
        <v>4639.7099999999991</v>
      </c>
      <c r="P56" s="63">
        <f>8111.23</f>
        <v>8111.23</v>
      </c>
      <c r="Q56" s="63"/>
      <c r="R56" s="64"/>
      <c r="S56" s="82">
        <f>9043.29</f>
        <v>9043.2900000000009</v>
      </c>
      <c r="T56" s="82">
        <f>SUM('[1]2025 Budget Abbrvte'!AC49:AE49)</f>
        <v>8413.0890205548603</v>
      </c>
      <c r="U56" s="82">
        <f>SUM('[1]2025 Budget Abbrvte'!AF51:AH51)</f>
        <v>5662.6647187835233</v>
      </c>
      <c r="V56" s="83">
        <f t="shared" si="6"/>
        <v>14075.753739338383</v>
      </c>
      <c r="W56" s="86">
        <f t="shared" si="33"/>
        <v>-5032.4637393383819</v>
      </c>
      <c r="X56" s="87">
        <f t="shared" si="34"/>
        <v>-0.35752712306083068</v>
      </c>
      <c r="Y56" s="90" t="s">
        <v>42</v>
      </c>
      <c r="Z56" s="4"/>
      <c r="AA56" s="4"/>
      <c r="AC56" s="4" t="s">
        <v>42</v>
      </c>
      <c r="AD56" s="15">
        <f>9043.29</f>
        <v>9043.2900000000009</v>
      </c>
      <c r="AE56" s="15">
        <f>8111.23</f>
        <v>8111.23</v>
      </c>
      <c r="AF56" s="15">
        <f t="shared" si="28"/>
        <v>932.06000000000131</v>
      </c>
      <c r="AG56" s="16">
        <f t="shared" si="29"/>
        <v>0.11490982255465587</v>
      </c>
    </row>
    <row r="57" spans="1:33" ht="15.95" customHeight="1" x14ac:dyDescent="0.25">
      <c r="A57" s="10"/>
      <c r="C57" s="4"/>
      <c r="E57" s="93" t="s">
        <v>45</v>
      </c>
      <c r="F57" s="24">
        <v>45394.759999999995</v>
      </c>
      <c r="G57" s="34">
        <f t="shared" si="25"/>
        <v>55751.199999999997</v>
      </c>
      <c r="H57" s="24">
        <f>(((H53)+(H56))+(H54))+(H55)</f>
        <v>101145.95999999999</v>
      </c>
      <c r="J57" s="102">
        <f t="shared" si="26"/>
        <v>21211.349999999991</v>
      </c>
      <c r="K57" s="103">
        <f t="shared" si="27"/>
        <v>0.26535877262677571</v>
      </c>
      <c r="M57" s="4" t="s">
        <v>45</v>
      </c>
      <c r="N57" s="24">
        <f>SUM(N54:N55)</f>
        <v>39821.379999999997</v>
      </c>
      <c r="O57" s="24">
        <f>SUM(O54:O55)</f>
        <v>40113.229999999996</v>
      </c>
      <c r="P57" s="24">
        <f>SUM(P54:P55)</f>
        <v>79934.61</v>
      </c>
      <c r="Q57" s="26"/>
      <c r="R57" s="11"/>
      <c r="S57" s="85">
        <f>(((S53)+(S56))+(S54))+(S55)</f>
        <v>101145.95999999999</v>
      </c>
      <c r="T57" s="82">
        <f>SUM('[1]2025 Budget Abbrvte'!AC52:AE52)</f>
        <v>51403.877798006157</v>
      </c>
      <c r="U57" s="82">
        <f>SUM('[1]2025 Budget Abbrvte'!AF52:AH52)</f>
        <v>50214.072832900201</v>
      </c>
      <c r="V57" s="83">
        <f t="shared" si="6"/>
        <v>101617.95063090636</v>
      </c>
      <c r="W57" s="86">
        <f t="shared" si="33"/>
        <v>-471.99063090636628</v>
      </c>
      <c r="X57" s="87">
        <f t="shared" si="34"/>
        <v>-4.6447564428918307E-3</v>
      </c>
      <c r="Y57" s="90" t="s">
        <v>45</v>
      </c>
      <c r="Z57" s="4"/>
      <c r="AA57" s="4"/>
      <c r="AC57" s="4" t="s">
        <v>45</v>
      </c>
      <c r="AD57" s="17">
        <f>(((AD53)+(AD56))+(AD54))+(AD55)</f>
        <v>101145.95999999999</v>
      </c>
      <c r="AE57" s="17">
        <f>(((AE53)+(AE56))+(AE54))+(AE55)</f>
        <v>88045.84</v>
      </c>
      <c r="AF57" s="17">
        <f t="shared" si="28"/>
        <v>13100.119999999995</v>
      </c>
      <c r="AG57" s="18">
        <f t="shared" si="29"/>
        <v>0.14878749524111526</v>
      </c>
    </row>
    <row r="58" spans="1:33" ht="15.95" customHeight="1" x14ac:dyDescent="0.25">
      <c r="C58" s="4"/>
      <c r="E58" s="93" t="s">
        <v>46</v>
      </c>
      <c r="F58" s="24">
        <v>73094.109999999986</v>
      </c>
      <c r="G58" s="76">
        <f t="shared" si="25"/>
        <v>97666.12</v>
      </c>
      <c r="H58" s="24">
        <f>H57+H47+H35+H34+H40+H52+H48</f>
        <v>170760.22999999998</v>
      </c>
      <c r="J58" s="98">
        <f t="shared" si="26"/>
        <v>41255.439999999973</v>
      </c>
      <c r="K58" s="99">
        <f t="shared" si="27"/>
        <v>0.31856304311215028</v>
      </c>
      <c r="M58" s="4" t="s">
        <v>46</v>
      </c>
      <c r="N58" s="24">
        <f>N57+N47+N35+N34+N40+N52+N48</f>
        <v>64733.289999999994</v>
      </c>
      <c r="O58" s="24">
        <f>O57+O47+O35+O34+O40+O52+O48</f>
        <v>64771.5</v>
      </c>
      <c r="P58" s="24">
        <f>P57+P47+P35+P34+P40+P52+P48</f>
        <v>129504.79000000001</v>
      </c>
      <c r="Q58" s="26"/>
      <c r="R58" s="11"/>
      <c r="S58" s="26">
        <f>S57+S47+S35+S34+S40+S52+S48</f>
        <v>170760.22999999998</v>
      </c>
      <c r="T58" s="63">
        <f>T57+T52+T48+T47+T40+T35+T34</f>
        <v>99605.892183803851</v>
      </c>
      <c r="U58" s="63">
        <f>SUM('[1]2025 Budget Abbrvte'!AF53:AH53)</f>
        <v>77822.862568236771</v>
      </c>
      <c r="V58" s="78">
        <f t="shared" si="6"/>
        <v>177428.75475204061</v>
      </c>
      <c r="W58" s="79">
        <f t="shared" si="33"/>
        <v>-6668.5247520406265</v>
      </c>
      <c r="X58" s="80">
        <f t="shared" si="34"/>
        <v>-3.758423915762691E-2</v>
      </c>
      <c r="Y58" s="90" t="s">
        <v>46</v>
      </c>
      <c r="Z58" s="4"/>
      <c r="AA58" s="4"/>
      <c r="AC58" s="4" t="s">
        <v>46</v>
      </c>
      <c r="AD58" s="17">
        <f>AD57+AD47+AD35+AD34+AD40+AD52+AD48</f>
        <v>170760.22999999998</v>
      </c>
      <c r="AE58" s="17">
        <f>AE57+AE47+AE35+AE34+AE40+AE52+AE48</f>
        <v>137616.01999999999</v>
      </c>
      <c r="AF58" s="17">
        <f t="shared" si="28"/>
        <v>33144.209999999992</v>
      </c>
      <c r="AG58" s="18">
        <f t="shared" si="29"/>
        <v>0.24084557887955191</v>
      </c>
    </row>
    <row r="59" spans="1:33" ht="15.95" customHeight="1" x14ac:dyDescent="0.25">
      <c r="C59" s="4"/>
      <c r="E59" s="93"/>
      <c r="F59" s="77"/>
      <c r="G59" s="35"/>
      <c r="H59" s="77"/>
      <c r="J59" s="104"/>
      <c r="K59" s="105"/>
      <c r="M59" s="4"/>
      <c r="N59" s="67"/>
      <c r="O59" s="67"/>
      <c r="P59" s="67"/>
      <c r="Q59" s="67"/>
      <c r="R59" s="11"/>
      <c r="S59" s="67"/>
      <c r="T59" s="88"/>
      <c r="U59" s="63"/>
      <c r="V59" s="78">
        <f t="shared" si="6"/>
        <v>0</v>
      </c>
      <c r="W59" s="81"/>
      <c r="X59" s="81"/>
      <c r="Y59" s="30"/>
    </row>
    <row r="60" spans="1:33" ht="15.95" customHeight="1" x14ac:dyDescent="0.25">
      <c r="C60" s="4"/>
      <c r="E60" s="93" t="s">
        <v>47</v>
      </c>
      <c r="F60" s="26">
        <v>97042.68</v>
      </c>
      <c r="G60" s="32">
        <f>H60-F60</f>
        <v>-21484.929999999993</v>
      </c>
      <c r="H60" s="26">
        <f>(H31)-(H58)</f>
        <v>75557.75</v>
      </c>
      <c r="J60" s="98">
        <f>(H60)-(P60)</f>
        <v>58429.190000000031</v>
      </c>
      <c r="K60" s="99">
        <f>IF(ABS((P60))=0,"",((H60)-(P60))/(ABS((P60))))</f>
        <v>3.4112143694507968</v>
      </c>
      <c r="M60" s="4" t="s">
        <v>47</v>
      </c>
      <c r="N60" s="26">
        <f>N31-N58</f>
        <v>24021.229999999996</v>
      </c>
      <c r="O60" s="26">
        <f>O31-O58</f>
        <v>-6892.6699999999983</v>
      </c>
      <c r="P60" s="26">
        <f>P31-P58</f>
        <v>17128.559999999969</v>
      </c>
      <c r="Q60" s="26"/>
      <c r="R60" s="11"/>
      <c r="S60" s="26">
        <f>(S31)-(S58)</f>
        <v>75557.75</v>
      </c>
      <c r="T60" s="63">
        <f>SUM('[1]2025 Budget Abbrvte'!AC54:AE54)</f>
        <v>9126.1195808544417</v>
      </c>
      <c r="U60" s="63">
        <f>SUM('[1]2025 Budget Abbrvte'!AF54:AH54)</f>
        <v>15415.949958680121</v>
      </c>
      <c r="V60" s="78">
        <f t="shared" si="6"/>
        <v>24542.069539534561</v>
      </c>
      <c r="W60" s="79">
        <f>S60-V60</f>
        <v>51015.680460465439</v>
      </c>
      <c r="X60" s="80">
        <f>W60/V60</f>
        <v>2.0787032804338206</v>
      </c>
      <c r="Y60" s="90" t="s">
        <v>47</v>
      </c>
      <c r="Z60" s="4"/>
      <c r="AA60" s="4"/>
      <c r="AC60" s="4" t="s">
        <v>47</v>
      </c>
      <c r="AD60" s="21">
        <f>(AD31)-(AD58)</f>
        <v>75557.75</v>
      </c>
      <c r="AE60" s="21">
        <f>(AE31)-(AE58)</f>
        <v>9017.3299999999872</v>
      </c>
      <c r="AF60" s="21">
        <f>(AD60)-(AE60)</f>
        <v>66540.420000000013</v>
      </c>
      <c r="AG60" s="22">
        <f>IF(ABS((AE60))=0,"",((AD60)-(AE60))/(ABS((AE60))))</f>
        <v>7.3791709962927063</v>
      </c>
    </row>
    <row r="61" spans="1:33" ht="15.95" customHeight="1" x14ac:dyDescent="0.25">
      <c r="C61" s="4"/>
      <c r="E61" s="93" t="s">
        <v>48</v>
      </c>
      <c r="F61" s="25"/>
      <c r="G61" s="32">
        <f>H61-F61</f>
        <v>0</v>
      </c>
      <c r="H61" s="25"/>
      <c r="J61" s="106"/>
      <c r="K61" s="107"/>
      <c r="M61" s="4" t="s">
        <v>48</v>
      </c>
      <c r="N61" s="25"/>
      <c r="O61" s="25">
        <f>N61-P61</f>
        <v>0</v>
      </c>
      <c r="P61" s="25"/>
      <c r="Q61" s="25"/>
      <c r="R61" s="13"/>
      <c r="S61" s="25"/>
      <c r="T61" s="63">
        <f>SUM('[1]2025 Budget Abbrvte'!AC55:AE55)</f>
        <v>0</v>
      </c>
      <c r="U61" s="63">
        <f>SUM('[1]2025 Budget Abbrvte'!AF55:AH55)</f>
        <v>0</v>
      </c>
      <c r="V61" s="78">
        <f t="shared" si="6"/>
        <v>0</v>
      </c>
      <c r="W61" s="79">
        <f t="shared" ref="W61:W71" si="35">S61-V61</f>
        <v>0</v>
      </c>
      <c r="X61" s="80"/>
      <c r="Y61" s="90" t="s">
        <v>48</v>
      </c>
      <c r="Z61" s="4"/>
      <c r="AA61" s="4"/>
      <c r="AC61" s="4" t="s">
        <v>48</v>
      </c>
      <c r="AD61" s="14"/>
      <c r="AE61" s="14"/>
      <c r="AF61" s="14"/>
      <c r="AG61" s="14"/>
    </row>
    <row r="62" spans="1:33" ht="15.95" customHeight="1" x14ac:dyDescent="0.25">
      <c r="C62" s="4"/>
      <c r="E62" s="93" t="s">
        <v>49</v>
      </c>
      <c r="F62" s="27"/>
      <c r="G62" s="32">
        <f>H62-F62</f>
        <v>375.75</v>
      </c>
      <c r="H62" s="63">
        <f>375.75</f>
        <v>375.75</v>
      </c>
      <c r="J62" s="98">
        <f>(H62)-(P62)</f>
        <v>375.75</v>
      </c>
      <c r="K62" s="99" t="str">
        <f>IF(ABS((P62))=0,"",((H62)-(P62))/(ABS((P62))))</f>
        <v/>
      </c>
      <c r="M62" s="4" t="s">
        <v>49</v>
      </c>
      <c r="N62" s="63">
        <v>15.68</v>
      </c>
      <c r="O62" s="25">
        <f>N62-P62</f>
        <v>15.68</v>
      </c>
      <c r="P62" s="25"/>
      <c r="Q62" s="25"/>
      <c r="R62" s="64"/>
      <c r="S62" s="63">
        <f>375.75</f>
        <v>375.75</v>
      </c>
      <c r="T62" s="63">
        <f>SUM('[1]2025 Budget Abbrvte'!AC56:AE56)</f>
        <v>0</v>
      </c>
      <c r="U62" s="63">
        <f>SUM('[1]2025 Budget Abbrvte'!AF56:AH56)</f>
        <v>0</v>
      </c>
      <c r="V62" s="78">
        <f t="shared" si="6"/>
        <v>0</v>
      </c>
      <c r="W62" s="79">
        <f t="shared" si="35"/>
        <v>375.75</v>
      </c>
      <c r="X62" s="80"/>
      <c r="Y62" s="90" t="s">
        <v>49</v>
      </c>
      <c r="Z62" s="4"/>
      <c r="AA62" s="4"/>
      <c r="AC62" s="4" t="s">
        <v>49</v>
      </c>
      <c r="AD62" s="15">
        <f>375.75</f>
        <v>375.75</v>
      </c>
      <c r="AE62" s="15">
        <f>36.38</f>
        <v>36.380000000000003</v>
      </c>
      <c r="AF62" s="15">
        <f>(AD62)-(AE62)</f>
        <v>339.37</v>
      </c>
      <c r="AG62" s="16">
        <f>IF(ABS((AE62))=0,"",((AD62)-(AE62))/(ABS((AE62))))</f>
        <v>9.3284771852666299</v>
      </c>
    </row>
    <row r="63" spans="1:33" ht="15.95" customHeight="1" x14ac:dyDescent="0.25">
      <c r="C63" s="4"/>
      <c r="E63" s="93" t="s">
        <v>65</v>
      </c>
      <c r="F63" s="25">
        <v>56617.55</v>
      </c>
      <c r="G63" s="32">
        <f>H63-F63</f>
        <v>0</v>
      </c>
      <c r="H63" s="25">
        <v>56617.55</v>
      </c>
      <c r="J63" s="106"/>
      <c r="K63" s="107"/>
      <c r="M63" s="4" t="s">
        <v>65</v>
      </c>
      <c r="N63" s="25">
        <v>0</v>
      </c>
      <c r="O63" s="25">
        <f>N63-P63</f>
        <v>0</v>
      </c>
      <c r="P63" s="25">
        <v>0</v>
      </c>
      <c r="Q63" s="25"/>
      <c r="R63" s="13"/>
      <c r="S63" s="25">
        <v>56617.55</v>
      </c>
      <c r="T63" s="63">
        <f>SUM('[1]2025 Budget Abbrvte'!AC57:AE57)</f>
        <v>0</v>
      </c>
      <c r="U63" s="63">
        <f>SUM('[1]2025 Budget Abbrvte'!AF57:AH57)</f>
        <v>0</v>
      </c>
      <c r="V63" s="78">
        <f t="shared" si="6"/>
        <v>0</v>
      </c>
      <c r="W63" s="79">
        <f t="shared" si="35"/>
        <v>56617.55</v>
      </c>
      <c r="X63" s="80"/>
      <c r="Y63" s="90" t="s">
        <v>65</v>
      </c>
      <c r="Z63" s="4"/>
      <c r="AA63" s="4"/>
      <c r="AC63" s="4" t="s">
        <v>65</v>
      </c>
      <c r="AD63" s="14">
        <v>56617.55</v>
      </c>
      <c r="AE63" s="14">
        <v>0</v>
      </c>
      <c r="AF63" s="14"/>
      <c r="AG63" s="14"/>
    </row>
    <row r="64" spans="1:33" ht="15.95" customHeight="1" x14ac:dyDescent="0.25">
      <c r="E64" s="93" t="s">
        <v>66</v>
      </c>
      <c r="F64" s="63">
        <v>105.49</v>
      </c>
      <c r="G64" s="32">
        <f>H64-F64</f>
        <v>11694.51</v>
      </c>
      <c r="H64" s="25">
        <v>11800</v>
      </c>
      <c r="J64" s="31"/>
      <c r="K64" s="108"/>
      <c r="N64" s="27"/>
      <c r="O64" s="28"/>
      <c r="P64" s="28"/>
      <c r="Q64" s="27"/>
      <c r="S64" s="23">
        <v>11800</v>
      </c>
      <c r="T64" s="82">
        <f>SUM('[1]2025 Budget Abbrvte'!AC58:AE58)</f>
        <v>0</v>
      </c>
      <c r="U64" s="82">
        <f>SUM('[1]2025 Budget Abbrvte'!AF58:AH58)</f>
        <v>0</v>
      </c>
      <c r="V64" s="83">
        <f t="shared" si="6"/>
        <v>0</v>
      </c>
      <c r="W64" s="86">
        <f t="shared" si="35"/>
        <v>11800</v>
      </c>
      <c r="X64" s="87"/>
      <c r="Y64" s="90" t="s">
        <v>66</v>
      </c>
      <c r="Z64" s="4"/>
      <c r="AA64" s="4"/>
      <c r="AC64" s="4" t="s">
        <v>66</v>
      </c>
      <c r="AD64" s="14">
        <v>11800</v>
      </c>
      <c r="AE64" s="14"/>
      <c r="AF64" s="14"/>
      <c r="AG64" s="14"/>
    </row>
    <row r="65" spans="3:33" ht="15.95" customHeight="1" x14ac:dyDescent="0.25">
      <c r="C65" s="4"/>
      <c r="E65" s="93" t="s">
        <v>50</v>
      </c>
      <c r="F65" s="24">
        <f>SUM(F62:F64)</f>
        <v>56723.040000000001</v>
      </c>
      <c r="G65" s="24">
        <f>SUM(G62:G64)</f>
        <v>12070.26</v>
      </c>
      <c r="H65" s="24">
        <f>SUM(H62:H64)</f>
        <v>68793.3</v>
      </c>
      <c r="J65" s="98">
        <f>(H65)-(P65)</f>
        <v>68756.92</v>
      </c>
      <c r="K65" s="99">
        <f>IF(ABS((P65))=0,"",((H65)-(P65))/(ABS((P65))))</f>
        <v>1889.964815832875</v>
      </c>
      <c r="M65" s="4" t="s">
        <v>50</v>
      </c>
      <c r="N65" s="24">
        <v>15.68</v>
      </c>
      <c r="O65" s="25">
        <f t="shared" ref="O65" si="36">P65-N65</f>
        <v>20.700000000000003</v>
      </c>
      <c r="P65" s="63">
        <f>36.38</f>
        <v>36.380000000000003</v>
      </c>
      <c r="Q65" s="63"/>
      <c r="R65" s="11"/>
      <c r="S65" s="26">
        <f>SUM(S62:S64)</f>
        <v>68793.3</v>
      </c>
      <c r="T65" s="63">
        <f>SUM('[1]2025 Budget Abbrvte'!AC59:AE59)</f>
        <v>0</v>
      </c>
      <c r="U65" s="63">
        <f>SUM('[1]2025 Budget Abbrvte'!AF59:AH59)</f>
        <v>0</v>
      </c>
      <c r="V65" s="78">
        <f t="shared" si="6"/>
        <v>0</v>
      </c>
      <c r="W65" s="79">
        <f t="shared" si="35"/>
        <v>68793.3</v>
      </c>
      <c r="X65" s="80"/>
      <c r="Y65" s="90" t="s">
        <v>50</v>
      </c>
      <c r="Z65" s="4"/>
      <c r="AA65" s="4"/>
      <c r="AC65" s="4" t="s">
        <v>50</v>
      </c>
      <c r="AD65" s="17">
        <f>SUM(AD62:AD64)</f>
        <v>68793.3</v>
      </c>
      <c r="AE65" s="17">
        <f>AE62</f>
        <v>36.380000000000003</v>
      </c>
      <c r="AF65" s="17">
        <f>(AD65)-(AE65)</f>
        <v>68756.92</v>
      </c>
      <c r="AG65" s="18">
        <f>IF(ABS((AE65))=0,"",((AD65)-(AE65))/(ABS((AE65))))</f>
        <v>1889.964815832875</v>
      </c>
    </row>
    <row r="66" spans="3:33" ht="15.95" customHeight="1" x14ac:dyDescent="0.25">
      <c r="E66" s="93" t="s">
        <v>54</v>
      </c>
      <c r="F66" s="26">
        <f>F65</f>
        <v>56723.040000000001</v>
      </c>
      <c r="G66" s="26">
        <f>G65</f>
        <v>12070.26</v>
      </c>
      <c r="H66" s="26">
        <f>H65</f>
        <v>68793.3</v>
      </c>
      <c r="J66" s="98">
        <f>(H66)-(P66)</f>
        <v>68756.92</v>
      </c>
      <c r="K66" s="99">
        <f>IF(ABS((P66))=0,"",((H66)-(P66))/(ABS((P66))))</f>
        <v>1889.964815832875</v>
      </c>
      <c r="M66" s="4" t="s">
        <v>54</v>
      </c>
      <c r="N66" s="26">
        <f>N65</f>
        <v>15.68</v>
      </c>
      <c r="O66" s="26">
        <f>O65</f>
        <v>20.700000000000003</v>
      </c>
      <c r="P66" s="26">
        <f>P65</f>
        <v>36.380000000000003</v>
      </c>
      <c r="Q66" s="26"/>
      <c r="R66" s="11"/>
      <c r="S66" s="26">
        <f>S65</f>
        <v>68793.3</v>
      </c>
      <c r="T66" s="63"/>
      <c r="U66" s="63"/>
      <c r="V66" s="78">
        <f t="shared" si="6"/>
        <v>0</v>
      </c>
      <c r="W66" s="79">
        <f t="shared" si="35"/>
        <v>68793.3</v>
      </c>
      <c r="X66" s="80"/>
      <c r="Y66" s="90" t="s">
        <v>54</v>
      </c>
      <c r="Z66" s="4"/>
      <c r="AA66" s="4"/>
      <c r="AC66" s="4" t="s">
        <v>54</v>
      </c>
      <c r="AD66" s="11">
        <f>AD65</f>
        <v>68793.3</v>
      </c>
      <c r="AE66" s="11">
        <f>AE65</f>
        <v>36.380000000000003</v>
      </c>
      <c r="AF66" s="11">
        <f>AF65</f>
        <v>68756.92</v>
      </c>
      <c r="AG66" s="14"/>
    </row>
    <row r="67" spans="3:33" ht="15.95" customHeight="1" x14ac:dyDescent="0.25">
      <c r="E67" s="93" t="s">
        <v>51</v>
      </c>
      <c r="F67" s="27"/>
      <c r="G67" s="68"/>
      <c r="H67" s="25"/>
      <c r="J67" s="106"/>
      <c r="K67" s="107"/>
      <c r="M67" s="4" t="s">
        <v>51</v>
      </c>
      <c r="N67" s="27"/>
      <c r="O67" s="25"/>
      <c r="P67" s="25"/>
      <c r="Q67" s="25"/>
      <c r="S67" s="63">
        <f>27.17</f>
        <v>27.17</v>
      </c>
      <c r="T67" s="63"/>
      <c r="U67" s="63"/>
      <c r="V67" s="78">
        <f t="shared" si="6"/>
        <v>0</v>
      </c>
      <c r="W67" s="79">
        <f t="shared" si="35"/>
        <v>27.17</v>
      </c>
      <c r="X67" s="80"/>
      <c r="Y67" s="90" t="s">
        <v>51</v>
      </c>
      <c r="Z67" s="4"/>
      <c r="AA67" s="4"/>
      <c r="AC67" s="4" t="s">
        <v>51</v>
      </c>
      <c r="AD67" s="15">
        <f>27.17</f>
        <v>27.17</v>
      </c>
      <c r="AE67" s="14"/>
      <c r="AF67" s="15">
        <f>(AD67)-(AE67)</f>
        <v>27.17</v>
      </c>
      <c r="AG67" s="16" t="str">
        <f>IF(ABS((AE67))=0,"",((AD67)-(AE67))/(ABS((AE67))))</f>
        <v/>
      </c>
    </row>
    <row r="68" spans="3:33" ht="15.95" customHeight="1" x14ac:dyDescent="0.25">
      <c r="E68" s="93" t="s">
        <v>52</v>
      </c>
      <c r="F68" s="23"/>
      <c r="G68" s="32">
        <f>H68-F68</f>
        <v>27.17</v>
      </c>
      <c r="H68" s="63">
        <f>27.17</f>
        <v>27.17</v>
      </c>
      <c r="J68" s="102">
        <f>(H68)-(P68)</f>
        <v>27.17</v>
      </c>
      <c r="K68" s="103" t="str">
        <f>IF(ABS((P68))=0,"",((H68)-(P68))/(ABS((P68))))</f>
        <v/>
      </c>
      <c r="M68" s="4" t="s">
        <v>52</v>
      </c>
      <c r="N68" s="28"/>
      <c r="O68" s="23"/>
      <c r="P68" s="26"/>
      <c r="Q68" s="26"/>
      <c r="S68" s="85">
        <f>S67</f>
        <v>27.17</v>
      </c>
      <c r="T68" s="82"/>
      <c r="U68" s="82"/>
      <c r="V68" s="83">
        <f t="shared" si="6"/>
        <v>0</v>
      </c>
      <c r="W68" s="86">
        <f t="shared" si="35"/>
        <v>27.17</v>
      </c>
      <c r="X68" s="87"/>
      <c r="Y68" s="90" t="s">
        <v>52</v>
      </c>
      <c r="Z68" s="4"/>
      <c r="AA68" s="4"/>
      <c r="AC68" s="4" t="s">
        <v>52</v>
      </c>
      <c r="AD68" s="21">
        <f>AD67</f>
        <v>27.17</v>
      </c>
      <c r="AE68" s="21">
        <f>AE67</f>
        <v>0</v>
      </c>
      <c r="AF68" s="21">
        <f>(AD68)-(AE68)</f>
        <v>27.17</v>
      </c>
      <c r="AG68" s="22" t="str">
        <f>IF(ABS((AE68))=0,"",((AD68)-(AE68))/(ABS((AE68))))</f>
        <v/>
      </c>
    </row>
    <row r="69" spans="3:33" ht="15.95" customHeight="1" x14ac:dyDescent="0.25">
      <c r="E69" s="93" t="s">
        <v>53</v>
      </c>
      <c r="F69" s="36"/>
      <c r="G69" s="37">
        <f t="shared" ref="G69:G71" si="37">H69-F69</f>
        <v>27.17</v>
      </c>
      <c r="H69" s="24">
        <f>H68</f>
        <v>27.17</v>
      </c>
      <c r="J69" s="109">
        <f>(H69)-(P69)</f>
        <v>27.17</v>
      </c>
      <c r="K69" s="110" t="str">
        <f>IF(ABS((P69))=0,"",((H69)-(P69))/(ABS((P69))))</f>
        <v/>
      </c>
      <c r="M69" s="4" t="s">
        <v>53</v>
      </c>
      <c r="N69" s="24">
        <f>N68</f>
        <v>0</v>
      </c>
      <c r="O69" s="24">
        <f>O68</f>
        <v>0</v>
      </c>
      <c r="P69" s="24">
        <f>(N69)-(O69)</f>
        <v>0</v>
      </c>
      <c r="Q69" s="26"/>
      <c r="S69" s="28"/>
      <c r="T69" s="82"/>
      <c r="U69" s="82"/>
      <c r="V69" s="83">
        <f t="shared" si="6"/>
        <v>0</v>
      </c>
      <c r="W69" s="86">
        <f t="shared" si="35"/>
        <v>0</v>
      </c>
      <c r="X69" s="87"/>
      <c r="Y69" s="90" t="s">
        <v>53</v>
      </c>
      <c r="Z69" s="4"/>
      <c r="AA69" s="4"/>
      <c r="AC69" s="4" t="s">
        <v>53</v>
      </c>
    </row>
    <row r="70" spans="3:33" ht="15.95" customHeight="1" x14ac:dyDescent="0.25">
      <c r="E70" s="93" t="s">
        <v>54</v>
      </c>
      <c r="F70" s="26">
        <v>56723.040000000001</v>
      </c>
      <c r="G70" s="37">
        <f t="shared" si="37"/>
        <v>12043.090000000004</v>
      </c>
      <c r="H70" s="24">
        <f>(H65)-(H69)</f>
        <v>68766.13</v>
      </c>
      <c r="J70" s="109">
        <f>(H70)-(P70)</f>
        <v>68771.150000000009</v>
      </c>
      <c r="K70" s="110">
        <f>IF(ABS((P70))=0,"",((H70)-(P70))/(ABS((P70))))</f>
        <v>13699.432270916328</v>
      </c>
      <c r="M70" s="4" t="s">
        <v>54</v>
      </c>
      <c r="N70" s="24">
        <f>(N66)-(N69)</f>
        <v>15.68</v>
      </c>
      <c r="O70" s="24">
        <f>(O66)-(O69)</f>
        <v>20.700000000000003</v>
      </c>
      <c r="P70" s="24">
        <f>(N70)-(O70)</f>
        <v>-5.0200000000000031</v>
      </c>
      <c r="Q70" s="26"/>
      <c r="S70" s="85">
        <f>(S65)-(S68)</f>
        <v>68766.13</v>
      </c>
      <c r="T70" s="82"/>
      <c r="U70" s="82"/>
      <c r="V70" s="83">
        <f t="shared" si="6"/>
        <v>0</v>
      </c>
      <c r="W70" s="86">
        <f t="shared" si="35"/>
        <v>68766.13</v>
      </c>
      <c r="X70" s="87"/>
      <c r="Y70" s="90" t="s">
        <v>54</v>
      </c>
      <c r="Z70" s="4"/>
      <c r="AA70" s="4"/>
      <c r="AC70" s="4" t="s">
        <v>54</v>
      </c>
      <c r="AD70" s="17">
        <f>(AD65)-(AD68)</f>
        <v>68766.13</v>
      </c>
      <c r="AE70" s="17">
        <f>(AE65)-(AE68)</f>
        <v>36.380000000000003</v>
      </c>
      <c r="AF70" s="17">
        <f>(AD70)-(AE70)</f>
        <v>68729.75</v>
      </c>
      <c r="AG70" s="18">
        <f>IF(ABS((AE70))=0,"",((AD70)-(AE70))/(ABS((AE70))))</f>
        <v>1889.2179769103902</v>
      </c>
    </row>
    <row r="71" spans="3:33" ht="15.95" customHeight="1" x14ac:dyDescent="0.25">
      <c r="E71" s="93" t="s">
        <v>55</v>
      </c>
      <c r="F71" s="24">
        <v>153765.72</v>
      </c>
      <c r="G71" s="68">
        <f t="shared" si="37"/>
        <v>-9441.8399999999965</v>
      </c>
      <c r="H71" s="24">
        <f>(H60)+(H70)</f>
        <v>144323.88</v>
      </c>
      <c r="J71" s="111">
        <f>(H71)-(P71)</f>
        <v>113415.00000000001</v>
      </c>
      <c r="K71" s="105">
        <f>IF(ABS((P71))=0,"",((H71)-(P71))/(ABS((P71))))</f>
        <v>3.6693338613369373</v>
      </c>
      <c r="M71" s="4" t="s">
        <v>55</v>
      </c>
      <c r="N71" s="24">
        <f>(N60)+(N70)</f>
        <v>24036.909999999996</v>
      </c>
      <c r="O71" s="24">
        <f>(O60)+(O70)</f>
        <v>-6871.9699999999984</v>
      </c>
      <c r="P71" s="24">
        <f>(N71)-(O71)</f>
        <v>30908.879999999994</v>
      </c>
      <c r="Q71" s="26"/>
      <c r="S71" s="26">
        <f>(S60)+(S70)</f>
        <v>144323.88</v>
      </c>
      <c r="T71" s="63">
        <f>T60</f>
        <v>9126.1195808544417</v>
      </c>
      <c r="U71" s="63">
        <f>U60</f>
        <v>15415.949958680121</v>
      </c>
      <c r="V71" s="78">
        <f t="shared" si="6"/>
        <v>24542.069539534561</v>
      </c>
      <c r="W71" s="79">
        <f t="shared" si="35"/>
        <v>119781.81046046544</v>
      </c>
      <c r="X71" s="80">
        <f t="shared" ref="X61:X71" si="38">W71/V71</f>
        <v>4.8806727675312871</v>
      </c>
      <c r="Y71" s="90" t="s">
        <v>55</v>
      </c>
      <c r="Z71" s="4"/>
      <c r="AA71" s="4"/>
      <c r="AC71" s="4" t="s">
        <v>55</v>
      </c>
      <c r="AD71" s="17">
        <f>(AD60)+(AD70)</f>
        <v>144323.88</v>
      </c>
      <c r="AE71" s="17">
        <f>(AE60)+(AE70)</f>
        <v>9053.7099999999864</v>
      </c>
      <c r="AF71" s="17">
        <f>(AD71)-(AE71)</f>
        <v>135270.17000000001</v>
      </c>
      <c r="AG71" s="18">
        <f>IF(ABS((AE71))=0,"",((AD71)-(AE71))/(ABS((AE71))))</f>
        <v>14.940855185332888</v>
      </c>
    </row>
    <row r="72" spans="3:33" ht="15.95" customHeight="1" thickBot="1" x14ac:dyDescent="0.3">
      <c r="E72" s="69"/>
      <c r="F72" s="70"/>
      <c r="G72" s="70"/>
      <c r="H72" s="70"/>
      <c r="I72" s="70"/>
      <c r="J72" s="112"/>
      <c r="K72" s="113"/>
      <c r="L72" s="71"/>
      <c r="M72" s="71"/>
      <c r="N72" s="72"/>
      <c r="O72" s="72"/>
      <c r="P72" s="72"/>
      <c r="Q72" s="27"/>
      <c r="S72" s="71"/>
      <c r="T72" s="73"/>
      <c r="U72" s="74"/>
      <c r="V72" s="75"/>
      <c r="W72" s="75"/>
      <c r="X72" s="75"/>
      <c r="Y72" s="92"/>
    </row>
    <row r="73" spans="3:33" ht="15.95" customHeight="1" x14ac:dyDescent="0.25">
      <c r="J73" s="30"/>
      <c r="K73" s="101"/>
      <c r="T73" s="15"/>
      <c r="U73" s="38"/>
    </row>
    <row r="74" spans="3:33" ht="15.95" customHeight="1" x14ac:dyDescent="0.25">
      <c r="E74" s="95" t="s">
        <v>114</v>
      </c>
      <c r="J74" s="30"/>
      <c r="K74" s="101"/>
      <c r="S74" s="20" t="s">
        <v>115</v>
      </c>
      <c r="T74" s="15"/>
    </row>
    <row r="75" spans="3:33" ht="15.95" customHeight="1" x14ac:dyDescent="0.25">
      <c r="E75" s="20" t="s">
        <v>89</v>
      </c>
      <c r="J75" s="30"/>
      <c r="K75" s="30"/>
      <c r="S75" s="20" t="s">
        <v>120</v>
      </c>
      <c r="T75" s="15"/>
    </row>
    <row r="76" spans="3:33" ht="15.95" customHeight="1" x14ac:dyDescent="0.3">
      <c r="C76" s="1"/>
      <c r="E76" t="s">
        <v>90</v>
      </c>
      <c r="M76" s="1"/>
      <c r="S76" t="s">
        <v>140</v>
      </c>
    </row>
    <row r="77" spans="3:33" ht="15.95" customHeight="1" x14ac:dyDescent="0.3">
      <c r="C77" s="1"/>
      <c r="E77" s="20" t="s">
        <v>91</v>
      </c>
      <c r="M77" s="1"/>
      <c r="S77" t="s">
        <v>121</v>
      </c>
      <c r="T77" s="15"/>
    </row>
    <row r="78" spans="3:33" ht="15.95" customHeight="1" x14ac:dyDescent="0.3">
      <c r="C78" s="1"/>
      <c r="E78" t="s">
        <v>92</v>
      </c>
      <c r="M78" s="1"/>
      <c r="S78" t="s">
        <v>122</v>
      </c>
      <c r="T78" s="15"/>
    </row>
    <row r="79" spans="3:33" ht="15.95" customHeight="1" x14ac:dyDescent="0.3">
      <c r="C79" s="1"/>
      <c r="E79" s="20" t="s">
        <v>93</v>
      </c>
      <c r="M79" s="1"/>
      <c r="S79" t="s">
        <v>123</v>
      </c>
      <c r="T79" s="15"/>
    </row>
    <row r="80" spans="3:33" ht="15.95" customHeight="1" x14ac:dyDescent="0.3">
      <c r="C80" s="1"/>
      <c r="E80" t="s">
        <v>94</v>
      </c>
      <c r="M80" s="1"/>
      <c r="S80" t="s">
        <v>125</v>
      </c>
      <c r="T80" s="15"/>
    </row>
    <row r="81" spans="3:20" ht="15.95" customHeight="1" x14ac:dyDescent="0.3">
      <c r="C81" s="1"/>
      <c r="E81" s="20" t="s">
        <v>95</v>
      </c>
      <c r="M81" s="1"/>
      <c r="S81" t="s">
        <v>126</v>
      </c>
      <c r="T81" s="15"/>
    </row>
    <row r="82" spans="3:20" ht="15.95" customHeight="1" x14ac:dyDescent="0.3">
      <c r="C82" s="1"/>
      <c r="E82" t="s">
        <v>96</v>
      </c>
      <c r="M82" s="1"/>
      <c r="T82" s="15"/>
    </row>
    <row r="83" spans="3:20" ht="15.95" customHeight="1" x14ac:dyDescent="0.3">
      <c r="C83" s="1"/>
      <c r="E83" s="20" t="s">
        <v>97</v>
      </c>
      <c r="M83" s="1"/>
      <c r="S83" s="20" t="s">
        <v>91</v>
      </c>
    </row>
    <row r="84" spans="3:20" ht="15.95" customHeight="1" x14ac:dyDescent="0.3">
      <c r="C84" s="1"/>
      <c r="E84" t="s">
        <v>98</v>
      </c>
      <c r="M84" s="1"/>
      <c r="S84" t="s">
        <v>116</v>
      </c>
    </row>
    <row r="85" spans="3:20" ht="15.95" customHeight="1" x14ac:dyDescent="0.3">
      <c r="C85" s="1"/>
      <c r="E85" s="20" t="s">
        <v>99</v>
      </c>
      <c r="M85" s="1"/>
      <c r="S85" t="s">
        <v>117</v>
      </c>
    </row>
    <row r="86" spans="3:20" ht="15.95" customHeight="1" x14ac:dyDescent="0.3">
      <c r="C86" s="1"/>
      <c r="E86" t="s">
        <v>100</v>
      </c>
      <c r="M86" s="1"/>
      <c r="S86" t="s">
        <v>118</v>
      </c>
    </row>
    <row r="87" spans="3:20" ht="15.95" customHeight="1" x14ac:dyDescent="0.3">
      <c r="C87" s="1"/>
      <c r="E87" s="20" t="s">
        <v>101</v>
      </c>
      <c r="M87" s="1"/>
      <c r="S87" t="s">
        <v>119</v>
      </c>
    </row>
    <row r="88" spans="3:20" ht="15.95" customHeight="1" x14ac:dyDescent="0.3">
      <c r="C88" s="1"/>
      <c r="E88" t="s">
        <v>102</v>
      </c>
      <c r="M88" s="1"/>
      <c r="S88" t="s">
        <v>142</v>
      </c>
    </row>
    <row r="89" spans="3:20" ht="15.95" customHeight="1" x14ac:dyDescent="0.3">
      <c r="C89" s="1"/>
      <c r="M89" s="1"/>
      <c r="S89" t="s">
        <v>141</v>
      </c>
    </row>
    <row r="90" spans="3:20" ht="15.95" customHeight="1" x14ac:dyDescent="0.3">
      <c r="C90" s="1"/>
      <c r="M90" s="1"/>
    </row>
    <row r="91" spans="3:20" ht="15.95" customHeight="1" x14ac:dyDescent="0.3">
      <c r="C91" s="1"/>
      <c r="E91" t="s">
        <v>103</v>
      </c>
      <c r="M91" s="1"/>
      <c r="S91" s="20" t="s">
        <v>127</v>
      </c>
    </row>
    <row r="92" spans="3:20" ht="15.95" customHeight="1" x14ac:dyDescent="0.25">
      <c r="E92" t="s">
        <v>104</v>
      </c>
      <c r="S92" t="s">
        <v>128</v>
      </c>
    </row>
    <row r="93" spans="3:20" ht="15.95" customHeight="1" x14ac:dyDescent="0.3">
      <c r="C93" s="1"/>
      <c r="M93" s="1"/>
      <c r="S93" t="s">
        <v>129</v>
      </c>
    </row>
    <row r="94" spans="3:20" ht="15.95" customHeight="1" x14ac:dyDescent="0.25">
      <c r="E94" t="s">
        <v>105</v>
      </c>
      <c r="S94" t="s">
        <v>130</v>
      </c>
    </row>
    <row r="95" spans="3:20" ht="15.95" customHeight="1" x14ac:dyDescent="0.25">
      <c r="E95" t="s">
        <v>106</v>
      </c>
      <c r="S95" t="s">
        <v>131</v>
      </c>
    </row>
    <row r="96" spans="3:20" ht="15.95" customHeight="1" x14ac:dyDescent="0.25">
      <c r="E96" t="s">
        <v>107</v>
      </c>
      <c r="S96" t="s">
        <v>132</v>
      </c>
    </row>
    <row r="98" spans="5:19" ht="15.95" customHeight="1" x14ac:dyDescent="0.25">
      <c r="E98" t="s">
        <v>108</v>
      </c>
      <c r="S98" s="20" t="s">
        <v>133</v>
      </c>
    </row>
    <row r="99" spans="5:19" ht="15.95" customHeight="1" x14ac:dyDescent="0.25">
      <c r="E99" t="s">
        <v>109</v>
      </c>
      <c r="S99" t="s">
        <v>124</v>
      </c>
    </row>
    <row r="100" spans="5:19" ht="15.95" customHeight="1" x14ac:dyDescent="0.25">
      <c r="S100" t="s">
        <v>134</v>
      </c>
    </row>
    <row r="101" spans="5:19" ht="15.95" customHeight="1" x14ac:dyDescent="0.25">
      <c r="E101" t="s">
        <v>110</v>
      </c>
      <c r="S101" t="s">
        <v>135</v>
      </c>
    </row>
    <row r="102" spans="5:19" ht="15.95" customHeight="1" x14ac:dyDescent="0.25">
      <c r="E102" t="s">
        <v>111</v>
      </c>
      <c r="S102" t="s">
        <v>136</v>
      </c>
    </row>
    <row r="103" spans="5:19" ht="15.95" customHeight="1" x14ac:dyDescent="0.25">
      <c r="S103" t="s">
        <v>137</v>
      </c>
    </row>
    <row r="104" spans="5:19" ht="15.95" customHeight="1" x14ac:dyDescent="0.25">
      <c r="E104" t="s">
        <v>112</v>
      </c>
    </row>
    <row r="105" spans="5:19" ht="15.95" customHeight="1" x14ac:dyDescent="0.25">
      <c r="E105" t="s">
        <v>113</v>
      </c>
      <c r="S105" s="20" t="s">
        <v>138</v>
      </c>
    </row>
    <row r="106" spans="5:19" ht="15.95" customHeight="1" x14ac:dyDescent="0.25">
      <c r="S106" t="s">
        <v>139</v>
      </c>
    </row>
    <row r="107" spans="5:19" ht="15.95" customHeight="1" x14ac:dyDescent="0.25">
      <c r="S107" t="s">
        <v>143</v>
      </c>
    </row>
  </sheetData>
  <pageMargins left="0.42" right="0.28999999999999998" top="0.25" bottom="0.23" header="0.17" footer="0.17"/>
  <pageSetup fitToHeight="2" orientation="landscape" r:id="rId1"/>
  <headerFooter>
    <oddFooter>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 and Loss</vt:lpstr>
      <vt:lpstr>'Profit and Loss'!Print_Area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Director</cp:lastModifiedBy>
  <cp:lastPrinted>2025-07-01T20:14:43Z</cp:lastPrinted>
  <dcterms:created xsi:type="dcterms:W3CDTF">2025-04-28T21:06:52Z</dcterms:created>
  <dcterms:modified xsi:type="dcterms:W3CDTF">2025-07-09T15:18:02Z</dcterms:modified>
</cp:coreProperties>
</file>